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4880" windowHeight="7395" activeTab="0"/>
  </bookViews>
  <sheets>
    <sheet name="New Weapons" sheetId="1" r:id="rId1"/>
    <sheet name="txt format" sheetId="2" r:id="rId2"/>
    <sheet name="Burst motors" sheetId="3" r:id="rId3"/>
    <sheet name="Batteries" sheetId="4" r:id="rId4"/>
    <sheet name="Weapons" sheetId="5" r:id="rId5"/>
    <sheet name="Wheels" sheetId="6" r:id="rId6"/>
    <sheet name="Extenders" sheetId="7" r:id="rId7"/>
    <sheet name="Spin Motors" sheetId="8" r:id="rId8"/>
    <sheet name="Armor" sheetId="9" r:id="rId9"/>
  </sheets>
  <definedNames>
    <definedName name="bursthp">'Burst motors'!$O$2</definedName>
    <definedName name="Eff">'Burst motors'!$N$2</definedName>
    <definedName name="gripfactor">'Wheels'!$K$1</definedName>
    <definedName name="hpfactor">'Spin Motors'!$I$1</definedName>
    <definedName name="massfactor">'Wheels'!$L$1</definedName>
    <definedName name="weff" localSheetId="0">'New Weapons'!#REF!</definedName>
    <definedName name="weff">'Weapons'!$I$1</definedName>
    <definedName name="wheff">'Wheels'!$I$1</definedName>
  </definedNames>
  <calcPr fullCalcOnLoad="1"/>
</workbook>
</file>

<file path=xl/sharedStrings.xml><?xml version="1.0" encoding="utf-8"?>
<sst xmlns="http://schemas.openxmlformats.org/spreadsheetml/2006/main" count="821" uniqueCount="669">
  <si>
    <t>Name</t>
  </si>
  <si>
    <t>Mass</t>
  </si>
  <si>
    <t>Burst IF</t>
  </si>
  <si>
    <t>Burst S</t>
  </si>
  <si>
    <t>Burst T</t>
  </si>
  <si>
    <t>Retract S</t>
  </si>
  <si>
    <t>Retract T</t>
  </si>
  <si>
    <t>EMIOR</t>
  </si>
  <si>
    <t>Size</t>
  </si>
  <si>
    <t>HP</t>
  </si>
  <si>
    <t>DDT (ref)</t>
  </si>
  <si>
    <t>Efficiency</t>
  </si>
  <si>
    <t>VDMA ES</t>
  </si>
  <si>
    <t>Fracture</t>
  </si>
  <si>
    <t>MaxHP</t>
  </si>
  <si>
    <t>VDMA S</t>
  </si>
  <si>
    <t>VDMA M</t>
  </si>
  <si>
    <t>VDMA MW</t>
  </si>
  <si>
    <t>VDMA L</t>
  </si>
  <si>
    <t>JX M</t>
  </si>
  <si>
    <t>JX L</t>
  </si>
  <si>
    <t>BSG</t>
  </si>
  <si>
    <t>Beta</t>
  </si>
  <si>
    <t>Mag S</t>
  </si>
  <si>
    <t>Mag F</t>
  </si>
  <si>
    <t>electotal</t>
  </si>
  <si>
    <t>size</t>
  </si>
  <si>
    <t>Ant</t>
  </si>
  <si>
    <t>Reference</t>
  </si>
  <si>
    <t>Battlepack</t>
  </si>
  <si>
    <t>WP836E</t>
  </si>
  <si>
    <t>PC545</t>
  </si>
  <si>
    <t>PC625</t>
  </si>
  <si>
    <t>Ant blade</t>
  </si>
  <si>
    <t>Nightmare tooth L</t>
  </si>
  <si>
    <t>Nightmare tooth S</t>
  </si>
  <si>
    <t>Battle axe</t>
  </si>
  <si>
    <t>Gothic axe</t>
  </si>
  <si>
    <t>Fire axe</t>
  </si>
  <si>
    <t>Axe head</t>
  </si>
  <si>
    <t>DSL hammer 1</t>
  </si>
  <si>
    <t>DSL hammer 2</t>
  </si>
  <si>
    <t>DSL hammer 3</t>
  </si>
  <si>
    <t>DSL hammer 4</t>
  </si>
  <si>
    <t>Sledgehammer</t>
  </si>
  <si>
    <t>Hammer head</t>
  </si>
  <si>
    <t>Meat tenderizer</t>
  </si>
  <si>
    <t>Spiked club</t>
  </si>
  <si>
    <t>Mace</t>
  </si>
  <si>
    <t>Ice pick</t>
  </si>
  <si>
    <t>Spike strip</t>
  </si>
  <si>
    <t>Iron spike</t>
  </si>
  <si>
    <t>Razor tip</t>
  </si>
  <si>
    <t>Pointy tip</t>
  </si>
  <si>
    <t>pole spike 30cm</t>
  </si>
  <si>
    <t>pole spike 50cm</t>
  </si>
  <si>
    <t>pole spike 70cm</t>
  </si>
  <si>
    <t>DSL bar 20x40</t>
  </si>
  <si>
    <t>DSL bar 20x80</t>
  </si>
  <si>
    <t>DSL bar 20x120</t>
  </si>
  <si>
    <t>DSL bar 20x160</t>
  </si>
  <si>
    <t>DSL bar 20x200</t>
  </si>
  <si>
    <t>DSL bar 30x40</t>
  </si>
  <si>
    <t>DSL bar 30x80</t>
  </si>
  <si>
    <t>DSL bar 30x120</t>
  </si>
  <si>
    <t>DSL bar 30x160</t>
  </si>
  <si>
    <t>DSL bar 30x200</t>
  </si>
  <si>
    <t>DSL bar 40x40</t>
  </si>
  <si>
    <t>DSL bar 40x80</t>
  </si>
  <si>
    <t>DSL bar 40x120</t>
  </si>
  <si>
    <t>DSL bar 40x160</t>
  </si>
  <si>
    <t>DSL bar 40x200</t>
  </si>
  <si>
    <t>DSL bar 20 to 30</t>
  </si>
  <si>
    <t>DSL bar 30 to 40</t>
  </si>
  <si>
    <t>DSL bar 20 to 40</t>
  </si>
  <si>
    <t>Beater bar S</t>
  </si>
  <si>
    <t>Beater bar M</t>
  </si>
  <si>
    <t>Beater bar L</t>
  </si>
  <si>
    <t>Chew blade</t>
  </si>
  <si>
    <t>Mower blade</t>
  </si>
  <si>
    <t>Cutting tooth</t>
  </si>
  <si>
    <t>Ripping tooth</t>
  </si>
  <si>
    <t>DS tooth L</t>
  </si>
  <si>
    <t>DS tooth S</t>
  </si>
  <si>
    <t>Hypno tooth</t>
  </si>
  <si>
    <t>Minion disc</t>
  </si>
  <si>
    <t>Bear claw</t>
  </si>
  <si>
    <t>Samurai sword</t>
  </si>
  <si>
    <t>Ninja star</t>
  </si>
  <si>
    <t>Iron fist</t>
  </si>
  <si>
    <t>Typhoon tooth L</t>
  </si>
  <si>
    <t>Typhoon tooth S</t>
  </si>
  <si>
    <t>MOE hammer</t>
  </si>
  <si>
    <t>Carrot</t>
  </si>
  <si>
    <t>Piercing</t>
  </si>
  <si>
    <t>Concussion</t>
  </si>
  <si>
    <t>Saw Blade 60cm</t>
  </si>
  <si>
    <t>Saw Blade 80cm</t>
  </si>
  <si>
    <t>Saw Blade 100cm</t>
  </si>
  <si>
    <t>Saw Blade 120cm</t>
  </si>
  <si>
    <t>Saw Blade 140cm</t>
  </si>
  <si>
    <t>Ant 1</t>
  </si>
  <si>
    <t>Ant 2</t>
  </si>
  <si>
    <t>Ant W</t>
  </si>
  <si>
    <t>Micro</t>
  </si>
  <si>
    <t>Mini</t>
  </si>
  <si>
    <t>Hypno</t>
  </si>
  <si>
    <t>DSL 1</t>
  </si>
  <si>
    <t>DSL 2</t>
  </si>
  <si>
    <t>Buster</t>
  </si>
  <si>
    <t>Growler</t>
  </si>
  <si>
    <t>Sort</t>
  </si>
  <si>
    <t>-</t>
  </si>
  <si>
    <t>Backlash</t>
  </si>
  <si>
    <t>Shiny</t>
  </si>
  <si>
    <t>Rubber</t>
  </si>
  <si>
    <t>Vlad</t>
  </si>
  <si>
    <t>Granny</t>
  </si>
  <si>
    <t>Pussycat</t>
  </si>
  <si>
    <t>Tornado</t>
  </si>
  <si>
    <t>Tazbot</t>
  </si>
  <si>
    <t>SlapH</t>
  </si>
  <si>
    <t>T-Minus</t>
  </si>
  <si>
    <t>Motorcycle</t>
  </si>
  <si>
    <t>N12</t>
  </si>
  <si>
    <t>Fatboy</t>
  </si>
  <si>
    <t>Mud</t>
  </si>
  <si>
    <t>Techno</t>
  </si>
  <si>
    <t>S3</t>
  </si>
  <si>
    <t>Slim</t>
  </si>
  <si>
    <t>Overkill</t>
  </si>
  <si>
    <t>Ford</t>
  </si>
  <si>
    <t>Cobra</t>
  </si>
  <si>
    <t>WBC</t>
  </si>
  <si>
    <t>Treads S</t>
  </si>
  <si>
    <t>Treads M</t>
  </si>
  <si>
    <t>Treads L</t>
  </si>
  <si>
    <t>MC2</t>
  </si>
  <si>
    <t>MC3</t>
  </si>
  <si>
    <t>Grip</t>
  </si>
  <si>
    <t>Colson S</t>
  </si>
  <si>
    <t>Colson M</t>
  </si>
  <si>
    <t>Colson L</t>
  </si>
  <si>
    <t>20cm CF ext</t>
  </si>
  <si>
    <t>40cm CF ext</t>
  </si>
  <si>
    <t>10cm CF ext</t>
  </si>
  <si>
    <t>60cm CF ext</t>
  </si>
  <si>
    <t>80cm CF ext</t>
  </si>
  <si>
    <t>100cm CF ext</t>
  </si>
  <si>
    <t>120cm CF ext</t>
  </si>
  <si>
    <t>10cm Al ext</t>
  </si>
  <si>
    <t>20cm Al ext</t>
  </si>
  <si>
    <t>40cm Al ext</t>
  </si>
  <si>
    <t>60cm Al ext</t>
  </si>
  <si>
    <t>80cm Al ext</t>
  </si>
  <si>
    <t>100cm Al ext</t>
  </si>
  <si>
    <t>120cm Al ext</t>
  </si>
  <si>
    <t>10cm Ti ext</t>
  </si>
  <si>
    <t>20cm Ti ext</t>
  </si>
  <si>
    <t>40cm Ti ext</t>
  </si>
  <si>
    <t>60cm Ti ext</t>
  </si>
  <si>
    <t>80cm Ti ext</t>
  </si>
  <si>
    <t>100cm Ti ext</t>
  </si>
  <si>
    <t>120cm Ti ext</t>
  </si>
  <si>
    <t>10cm steel ext</t>
  </si>
  <si>
    <t>20cm steel ext</t>
  </si>
  <si>
    <t>40cm steel ext</t>
  </si>
  <si>
    <t>60cm steel ext</t>
  </si>
  <si>
    <t>80cm steel ext</t>
  </si>
  <si>
    <t>100cm steel ext</t>
  </si>
  <si>
    <t>120cm steel ext</t>
  </si>
  <si>
    <t>SS axle ext</t>
  </si>
  <si>
    <t>SM axle ext</t>
  </si>
  <si>
    <t>SL axle ext</t>
  </si>
  <si>
    <t>MS axle ext</t>
  </si>
  <si>
    <t>MM axle ext</t>
  </si>
  <si>
    <t>ML axle ext</t>
  </si>
  <si>
    <t>LS axle ext</t>
  </si>
  <si>
    <t>LM axle ext</t>
  </si>
  <si>
    <t>LL axle ext</t>
  </si>
  <si>
    <t>Flipper segments</t>
  </si>
  <si>
    <t>Axle mount</t>
  </si>
  <si>
    <t>Small tribar</t>
  </si>
  <si>
    <t>Med tribar</t>
  </si>
  <si>
    <t>Large tribar</t>
  </si>
  <si>
    <t>XL tribar</t>
  </si>
  <si>
    <t>Whyachi tribar</t>
  </si>
  <si>
    <t>Hex plate</t>
  </si>
  <si>
    <t>Half hex</t>
  </si>
  <si>
    <t>SM disc</t>
  </si>
  <si>
    <t>M disc</t>
  </si>
  <si>
    <t>M2 disc</t>
  </si>
  <si>
    <t>L disc</t>
  </si>
  <si>
    <t>L2 disc</t>
  </si>
  <si>
    <t>S disc</t>
  </si>
  <si>
    <t>S drum</t>
  </si>
  <si>
    <t>M drum</t>
  </si>
  <si>
    <t>L drum</t>
  </si>
  <si>
    <t>40cm panel</t>
  </si>
  <si>
    <t>60cm panel</t>
  </si>
  <si>
    <t>30cm panel</t>
  </si>
  <si>
    <t>50cm panel</t>
  </si>
  <si>
    <t>30x100 panel</t>
  </si>
  <si>
    <t>30x150 panel</t>
  </si>
  <si>
    <t>30x200 panel</t>
  </si>
  <si>
    <t>30x250 panel</t>
  </si>
  <si>
    <t>40x100 panel</t>
  </si>
  <si>
    <t>40x150 panel</t>
  </si>
  <si>
    <t>40x200 panel</t>
  </si>
  <si>
    <t>40x250 panel</t>
  </si>
  <si>
    <t>50x100 panel</t>
  </si>
  <si>
    <t>50x150 panel</t>
  </si>
  <si>
    <t>50x200 panel</t>
  </si>
  <si>
    <t>50x250 panel</t>
  </si>
  <si>
    <t>60x100 panel</t>
  </si>
  <si>
    <t>60x150 panel</t>
  </si>
  <si>
    <t>60x200 panel</t>
  </si>
  <si>
    <t>60x250 panel</t>
  </si>
  <si>
    <t>40cm poly skirt</t>
  </si>
  <si>
    <t>80cm poly skirt</t>
  </si>
  <si>
    <t>120cm poly skirt</t>
  </si>
  <si>
    <t>40cm poly angle skirt</t>
  </si>
  <si>
    <t>80cm poly angle skirt</t>
  </si>
  <si>
    <t>120cm poly angle skirt</t>
  </si>
  <si>
    <t>40cm ti skirt</t>
  </si>
  <si>
    <t>80cm ti skirt</t>
  </si>
  <si>
    <t>120cm ti skirt</t>
  </si>
  <si>
    <t>40cm ti angle skirt</t>
  </si>
  <si>
    <t>80cm ti angle skirt</t>
  </si>
  <si>
    <t>120cm ti angle skirt</t>
  </si>
  <si>
    <t>40cm steel skirt</t>
  </si>
  <si>
    <t>80cm steel skirt</t>
  </si>
  <si>
    <t>120cm steel skirt</t>
  </si>
  <si>
    <t>40cm steel angle skirt</t>
  </si>
  <si>
    <t>80cm steel angle skirt</t>
  </si>
  <si>
    <t>120cm steel angle skirt</t>
  </si>
  <si>
    <t>40x40 poly</t>
  </si>
  <si>
    <t>40x60 poly</t>
  </si>
  <si>
    <t>40x80 poly</t>
  </si>
  <si>
    <t>40x100 poly</t>
  </si>
  <si>
    <t>40x120 poly</t>
  </si>
  <si>
    <t>60x60 poly</t>
  </si>
  <si>
    <t>60x80 poly</t>
  </si>
  <si>
    <t>60x100 poly</t>
  </si>
  <si>
    <t>60x120 poly</t>
  </si>
  <si>
    <t>80x80 poly</t>
  </si>
  <si>
    <t>80x100 poly</t>
  </si>
  <si>
    <t>80x120 poly</t>
  </si>
  <si>
    <t>100x100 poly</t>
  </si>
  <si>
    <t>100x120 poly</t>
  </si>
  <si>
    <t>120x120 poly</t>
  </si>
  <si>
    <t>40x40 poly tri</t>
  </si>
  <si>
    <t>40x70 poly tri</t>
  </si>
  <si>
    <t>60x60 poly tri</t>
  </si>
  <si>
    <t>60x100 poly tri</t>
  </si>
  <si>
    <t>80x80 poly tri</t>
  </si>
  <si>
    <t>100x100 poly tri</t>
  </si>
  <si>
    <t>120x120 poly tri</t>
  </si>
  <si>
    <t>40x40 steel</t>
  </si>
  <si>
    <t>40x60 steel</t>
  </si>
  <si>
    <t>40x80 steel</t>
  </si>
  <si>
    <t>40x100 steel</t>
  </si>
  <si>
    <t>40x120 steel</t>
  </si>
  <si>
    <t>60x60 steel</t>
  </si>
  <si>
    <t>60x80 steel</t>
  </si>
  <si>
    <t>60x100 steel</t>
  </si>
  <si>
    <t>60x120 steel</t>
  </si>
  <si>
    <t>80x80 steel</t>
  </si>
  <si>
    <t>80x100 steel</t>
  </si>
  <si>
    <t>80x120 steel</t>
  </si>
  <si>
    <t>100x100 steel</t>
  </si>
  <si>
    <t>100x120 steel</t>
  </si>
  <si>
    <t>120x120 steel</t>
  </si>
  <si>
    <t>40x40 steel tri</t>
  </si>
  <si>
    <t>40x70 steel tri</t>
  </si>
  <si>
    <t>60x60 steel tri</t>
  </si>
  <si>
    <t>60x100 steel tri</t>
  </si>
  <si>
    <t>80x80 steel tri</t>
  </si>
  <si>
    <t>100x100 steel tri</t>
  </si>
  <si>
    <t>120x120 steel tri</t>
  </si>
  <si>
    <t>Ski XL</t>
  </si>
  <si>
    <t>Ski L</t>
  </si>
  <si>
    <t>Ski M</t>
  </si>
  <si>
    <t>Ski S</t>
  </si>
  <si>
    <t>Light plow</t>
  </si>
  <si>
    <t>Med plow</t>
  </si>
  <si>
    <t>Heavy plow</t>
  </si>
  <si>
    <t>Dog plow</t>
  </si>
  <si>
    <t>V plow</t>
  </si>
  <si>
    <t>Speed</t>
  </si>
  <si>
    <t>Power</t>
  </si>
  <si>
    <t>Copal</t>
  </si>
  <si>
    <t>Astroflight</t>
  </si>
  <si>
    <t>Slimbody</t>
  </si>
  <si>
    <t>Mag drive</t>
  </si>
  <si>
    <t>NPC</t>
  </si>
  <si>
    <t>2Mag drive</t>
  </si>
  <si>
    <t>Etek drive</t>
  </si>
  <si>
    <t>Piglet</t>
  </si>
  <si>
    <t>Mag weapon</t>
  </si>
  <si>
    <t>Perm 80</t>
  </si>
  <si>
    <t>2Mag weapon</t>
  </si>
  <si>
    <t>Etek</t>
  </si>
  <si>
    <t>Perm 132</t>
  </si>
  <si>
    <t>4Mag</t>
  </si>
  <si>
    <t>6Mag</t>
  </si>
  <si>
    <t>2Perm</t>
  </si>
  <si>
    <t>weapon motor hp factor</t>
  </si>
  <si>
    <t>Type</t>
  </si>
  <si>
    <t>Weight</t>
  </si>
  <si>
    <t>Strength</t>
  </si>
  <si>
    <t>Plastic 10</t>
  </si>
  <si>
    <t>Plastic 5</t>
  </si>
  <si>
    <t>Plastic 3</t>
  </si>
  <si>
    <t>Plastic 1</t>
  </si>
  <si>
    <t>Al 10</t>
  </si>
  <si>
    <t>Al 5</t>
  </si>
  <si>
    <t>Al 3</t>
  </si>
  <si>
    <t>Al 1</t>
  </si>
  <si>
    <t>Ti 10</t>
  </si>
  <si>
    <t>Ti 5</t>
  </si>
  <si>
    <t>Ti 3</t>
  </si>
  <si>
    <t>Ti 1</t>
  </si>
  <si>
    <t>Steel 10</t>
  </si>
  <si>
    <t>Steel 5</t>
  </si>
  <si>
    <t>Steel 3</t>
  </si>
  <si>
    <t>Steel 1</t>
  </si>
  <si>
    <t>Resistance</t>
  </si>
  <si>
    <t>Radius</t>
  </si>
  <si>
    <t>Circumference</t>
  </si>
  <si>
    <t>Bonus Grip</t>
  </si>
  <si>
    <t>40x40 ti</t>
  </si>
  <si>
    <t>40x60 ti</t>
  </si>
  <si>
    <t>40x80 ti</t>
  </si>
  <si>
    <t>40x100 ti</t>
  </si>
  <si>
    <t>40x120 ti</t>
  </si>
  <si>
    <t>60x60 ti</t>
  </si>
  <si>
    <t>60x80 ti</t>
  </si>
  <si>
    <t>60x100 ti</t>
  </si>
  <si>
    <t>60x120 ti</t>
  </si>
  <si>
    <t>80x80 ti</t>
  </si>
  <si>
    <t>80x100 ti</t>
  </si>
  <si>
    <t>80x120 ti</t>
  </si>
  <si>
    <t>100x100 ti</t>
  </si>
  <si>
    <t>100x120 ti</t>
  </si>
  <si>
    <t>120x120 ti</t>
  </si>
  <si>
    <t>40x40 ti tri</t>
  </si>
  <si>
    <t>40x70 ti tri</t>
  </si>
  <si>
    <t>60x60 ti tri</t>
  </si>
  <si>
    <t>60x100 ti tri</t>
  </si>
  <si>
    <t>80x80 ti tri</t>
  </si>
  <si>
    <t>100x100 ti tri</t>
  </si>
  <si>
    <t>120x120 ti tri</t>
  </si>
  <si>
    <t>Normal</t>
  </si>
  <si>
    <t>Adj. DP</t>
  </si>
  <si>
    <t>HP/DP%</t>
  </si>
  <si>
    <t>Base DP</t>
  </si>
  <si>
    <t>Target DP</t>
  </si>
  <si>
    <t>Heavy spike 40cm</t>
  </si>
  <si>
    <t>Heavy spike 60cm</t>
  </si>
  <si>
    <t>Heavy spike 80cm</t>
  </si>
  <si>
    <t>Heavy spike 100cm</t>
  </si>
  <si>
    <t>Heavy spike 120cm</t>
  </si>
  <si>
    <t>Wedge Steel</t>
  </si>
  <si>
    <t>Wedge Ti</t>
  </si>
  <si>
    <t>12 cm poly round ext</t>
  </si>
  <si>
    <t>24 cm poly round ext</t>
  </si>
  <si>
    <t>49 cm poly round ext</t>
  </si>
  <si>
    <t>73 cm poly round ext</t>
  </si>
  <si>
    <t>97 cm poly round ext</t>
  </si>
  <si>
    <t>120 cm poly round ext</t>
  </si>
  <si>
    <t>146 cm poly round ext</t>
  </si>
  <si>
    <t>12 cm al round ext</t>
  </si>
  <si>
    <t>24 cm al round ext</t>
  </si>
  <si>
    <t>49 cm al round ext</t>
  </si>
  <si>
    <t>73 cm al round ext</t>
  </si>
  <si>
    <t>97 cm al round ext</t>
  </si>
  <si>
    <t>120 cm al round ext</t>
  </si>
  <si>
    <t>146 cm al round ext</t>
  </si>
  <si>
    <t>12 cm ti round ext</t>
  </si>
  <si>
    <t>24 cm ti round ext</t>
  </si>
  <si>
    <t>49 cm ti round ext</t>
  </si>
  <si>
    <t>73 cm ti round ext</t>
  </si>
  <si>
    <t>97 cm ti round ext</t>
  </si>
  <si>
    <t>120 cm ti round ext</t>
  </si>
  <si>
    <t>146 cm ti round ext</t>
  </si>
  <si>
    <t>12 cm steel round ext</t>
  </si>
  <si>
    <t>24 cm steel round ext</t>
  </si>
  <si>
    <t>49 cm steel round ext</t>
  </si>
  <si>
    <t>73 cm steel round ext</t>
  </si>
  <si>
    <t>97 cm steel round ext</t>
  </si>
  <si>
    <t>120 cm steel round ext</t>
  </si>
  <si>
    <t>146 cm steel round ext</t>
  </si>
  <si>
    <t>40cm al skirt</t>
  </si>
  <si>
    <t>80cm al skirt</t>
  </si>
  <si>
    <t>120cm al skirt</t>
  </si>
  <si>
    <t>40cm al angle skirt</t>
  </si>
  <si>
    <t>80cm al angle skirt</t>
  </si>
  <si>
    <t>120cm al angle skirt</t>
  </si>
  <si>
    <t>Ant hammer</t>
  </si>
  <si>
    <t>Shark's tooth</t>
  </si>
  <si>
    <t>Matilda tooth</t>
  </si>
  <si>
    <t>Sir K claw</t>
  </si>
  <si>
    <t>259 disc</t>
  </si>
  <si>
    <t>Backlash disc</t>
  </si>
  <si>
    <t>Cleprechaun disc</t>
  </si>
  <si>
    <t>Dreadnought disc</t>
  </si>
  <si>
    <t>Pussycat disc</t>
  </si>
  <si>
    <t>Ronin disc</t>
  </si>
  <si>
    <t>WhirlWep disc</t>
  </si>
  <si>
    <t>Potter's wheel</t>
  </si>
  <si>
    <t>Billy Bot saw</t>
  </si>
  <si>
    <t>Sir K drill</t>
  </si>
  <si>
    <t>Robot X spike</t>
  </si>
  <si>
    <t>Tornado spike</t>
  </si>
  <si>
    <t>Lightning spike</t>
  </si>
  <si>
    <t>SlapH blade</t>
  </si>
  <si>
    <t>Cleprechaun tail</t>
  </si>
  <si>
    <t>frenZy hammer</t>
  </si>
  <si>
    <t>Tazbot weapon</t>
  </si>
  <si>
    <t>Overkill blade</t>
  </si>
  <si>
    <t>El Diablo triple bar</t>
  </si>
  <si>
    <t>Vlad forks</t>
  </si>
  <si>
    <t>Fluffy blade</t>
  </si>
  <si>
    <t>MOE blade</t>
  </si>
  <si>
    <t>Tornado drum</t>
  </si>
  <si>
    <t>Panic Attack forks</t>
  </si>
  <si>
    <t>Behemoth hammer</t>
  </si>
  <si>
    <t>Base HP</t>
  </si>
  <si>
    <t>DP/HP</t>
  </si>
  <si>
    <t>P/C</t>
  </si>
  <si>
    <t>name = Spike Strip</t>
  </si>
  <si>
    <t>preview = spikestrip_preview.bmp</t>
  </si>
  <si>
    <t>dir = spikestrip</t>
  </si>
  <si>
    <t>model = spikestrip1.gmf</t>
  </si>
  <si>
    <t>type = weapons</t>
  </si>
  <si>
    <t>base = Weapon</t>
  </si>
  <si>
    <t>passthru = strip_collision</t>
  </si>
  <si>
    <t>styles = Spike strip, dsldarkspike1.txt, Iron spike, dslrazortip1.txt, Razor tip, dslpointy_tip.txt, Pointy tip, dslpolespike1.txt, 30cm Pole spike, dslpolespike2.txt, 50cm Pole spike, dslpolespike3.txt, 70cm Pole spike</t>
  </si>
  <si>
    <t>damagesounds = sounds\high_metal_tink.wav</t>
  </si>
  <si>
    <t>normal = false -1 0 0  0 1 0</t>
  </si>
  <si>
    <t>decal = double_slash.tga 0 0 1 .5 .5 0</t>
  </si>
  <si>
    <t>attachsound = sounds\cmp_generic.wav</t>
  </si>
  <si>
    <t>standard = 1</t>
  </si>
  <si>
    <t>filename</t>
  </si>
  <si>
    <t>sozblade.TXT</t>
  </si>
  <si>
    <t>dslbattleaxe1.txt</t>
  </si>
  <si>
    <t>bearclaw1.txt</t>
  </si>
  <si>
    <t>beater1.txt</t>
  </si>
  <si>
    <t>dslchewblade1.txt</t>
  </si>
  <si>
    <t>dslteeth01.txt</t>
  </si>
  <si>
    <t>dslbar1.txt</t>
  </si>
  <si>
    <t>hammerheads01.TXT</t>
  </si>
  <si>
    <t>dslsledgehammer1.txt</t>
  </si>
  <si>
    <t>dslspikestrip1.txt</t>
  </si>
  <si>
    <t>dslspikeclub1.txt</t>
  </si>
  <si>
    <t>dslsawblade1.txt</t>
  </si>
  <si>
    <t>lt_tooth.txt</t>
  </si>
  <si>
    <t>259disc.TXT</t>
  </si>
  <si>
    <t>vladspoker.txt</t>
  </si>
  <si>
    <t>Typhoon spike</t>
  </si>
  <si>
    <t>slapbladeb.TXT</t>
  </si>
  <si>
    <t>fluffyblade.txt</t>
  </si>
  <si>
    <t>vladspikes.TXT</t>
  </si>
  <si>
    <t>DP</t>
  </si>
  <si>
    <t>Normal multiplier</t>
  </si>
  <si>
    <t>no</t>
  </si>
  <si>
    <t>description</t>
  </si>
  <si>
    <t>sort</t>
  </si>
  <si>
    <t>fracture</t>
  </si>
  <si>
    <t>concussion</t>
  </si>
  <si>
    <t>piercing</t>
  </si>
  <si>
    <t>mass</t>
  </si>
  <si>
    <t>normal</t>
  </si>
  <si>
    <t>Grrrrrr!!</t>
  </si>
  <si>
    <t>A small steel bar to add a little bite to your drum weapon.  They can also be stacked end-to-end to make an eggbeater weapon.  This small one has</t>
  </si>
  <si>
    <t>A bar made of hardened tool steel, ideal as a spinning weapon.  Put other weapons on the ends to increase its effectiveness.  It has</t>
  </si>
  <si>
    <t>Double sided war axe for ultimate terror.  It has a terrifying</t>
  </si>
  <si>
    <t>More than a sawblade, the Canine VI is machined nearly 5 cm thick. Always wear your safety glasses!  It has</t>
  </si>
  <si>
    <t>Fine carbide steel sawblade, available in a range of sizes for your cutting pleasure.</t>
  </si>
  <si>
    <t>Fine carbide steel sawblade, available in a range of sizes for your cutting pleasure.  It has</t>
  </si>
  <si>
    <t>Heavy. Good for smash stuff.</t>
  </si>
  <si>
    <t>This fear-inspiring spiked club is a replica of an ancient weapon. It has</t>
  </si>
  <si>
    <t>This jagged metal strip can be mounted on its bottom side or rear tip.  It has</t>
  </si>
  <si>
    <t>This small tooth works best on spinning disc weapons as a saw blade-like tooth.  It has</t>
  </si>
  <si>
    <t>A heavy weapon from the robot Fluffy with</t>
  </si>
  <si>
    <t>When you need a lot of pure brute force compacted into one mother-of-all-weapons, these hammers are the way to go.  This one has</t>
  </si>
  <si>
    <t>Very small shark tooth style weapon, perfect for adding on to a drum weapon.</t>
  </si>
  <si>
    <t>This big, colorful blade is sure to attract some attention.  Especially when it makes mincemeat of your opponent!</t>
  </si>
  <si>
    <t>Custom waterjetted from a sheet of titanium, this little blade is not to be underestimated on an antweight.  It has</t>
  </si>
  <si>
    <t>Vlad the Impaler's spikes can serve dual purposes as lifting or impaling weapons with</t>
  </si>
  <si>
    <t>This long spike has a sharp edge so it also works on spinners.  It has</t>
  </si>
  <si>
    <t>Team Nightmare's signature disc design will make a wicked looking addition to your bot.  This bad boy has</t>
  </si>
  <si>
    <t>Light double sided war axe for marginally less terror.  It has</t>
  </si>
  <si>
    <t>A small steel bar to add a little bite to your drum weapon.  They can also be stacked end-to-end to make an eggbeater weapon.  This medium one has</t>
  </si>
  <si>
    <t>A small steel bar to add a little bite to your drum weapon.  They can also be stacked end-to-end to make an eggbeater weapon.  This large one has</t>
  </si>
  <si>
    <t>A small, lightweight hammer from Behemoth with</t>
  </si>
  <si>
    <t>Billy Bot's dual saw blades are lightweight and powerful with</t>
  </si>
  <si>
    <t>Heavy rectangular hammer with a small tooth for a bit of piercing damage.</t>
  </si>
  <si>
    <t>Cleprechaun's blade has a large diameter, yet is relatively lightweight.  It has</t>
  </si>
  <si>
    <t>This is the tail from the robot Cleprechaun.  It has</t>
  </si>
  <si>
    <t>Sinister three-pronged spike array from El Diablo with</t>
  </si>
  <si>
    <t>Dreadnought's dual disc set for wide weapon setups.</t>
  </si>
  <si>
    <t>The sharp edge on this axe can easily cut through metal if swung with enough force.</t>
  </si>
  <si>
    <t>Connects a 20cm wide bar to a 30cm wide bar.  The angled sides make it a more powerful weapon than the straight bars with</t>
  </si>
  <si>
    <t>Connects a 30cm wide bar to a 40cm wide bar.  The angled sides make it a more powerful weapon than the straight bars with</t>
  </si>
  <si>
    <t>Connects a 20cm wide bar to a 40cm wide bar.  Sharply angled sides also make this bar an excellent weapon head with</t>
  </si>
  <si>
    <t>This heavy iron spike is primitive, but serves its purpose as a pointed weapon.</t>
  </si>
  <si>
    <t>Here's an axe that can really get the job done.</t>
  </si>
  <si>
    <t>Heavy hammer head with dual mount positions.</t>
  </si>
  <si>
    <t>Everyone loves a good icepick. Especially when it smashes the control board of your opponent!</t>
  </si>
  <si>
    <t>Heavy iron ball with spikes. Ouch.</t>
  </si>
  <si>
    <t>Nice cutting edge. Your grandpa won't miss it until spring comes and he tries to cut his grass.</t>
  </si>
  <si>
    <t>Sharp pointed spike for a variety of poking uses.</t>
  </si>
  <si>
    <t>All-purpose sharpened steel pole. Several lengths.  This one has</t>
  </si>
  <si>
    <t>Hardened steel core with embedded razor blades.</t>
  </si>
  <si>
    <t>This frighteningly large tooth will make a mess of your opponent with</t>
  </si>
  <si>
    <t>This double sided tooth is deadly when spun in either direction.  It has</t>
  </si>
  <si>
    <t>This three-pointed tooth can be used for ramming or spinning weapons.  It has</t>
  </si>
  <si>
    <t>frenZy's meat tenderizer hammer for tenderizing your opponent's chassis.</t>
  </si>
  <si>
    <t>This massive hammer is the strongest weapon available, if you can manage to move it.  It has</t>
  </si>
  <si>
    <t>With the right force and angle of attack, this heavy-duty spike is capable of spearing bots like olives.</t>
  </si>
  <si>
    <t>Heavier.  Gooder for smash stuff.</t>
  </si>
  <si>
    <t>This is the tooth from the robot Hypnodisc with</t>
  </si>
  <si>
    <t>This aint no boxing glove. An Iron Fist in the jaw will knock the brains right out of your head.</t>
  </si>
  <si>
    <t>This is the spike from the robot Lightning.</t>
  </si>
  <si>
    <t>This is the tooth from the disc of the robot Matilda.</t>
  </si>
  <si>
    <t>This disc will make short work of your opponent with</t>
  </si>
  <si>
    <t>M.O.E.'s blade combined into one part for your convenience.  It has</t>
  </si>
  <si>
    <t>Small, sturdy tooth that mounts to the side.  Available in two sizes.</t>
  </si>
  <si>
    <t>This is a giant replica of a ninja throwing star, adapted for use as a spinning or fixed weapon.</t>
  </si>
  <si>
    <t>Overkill's gigantic blade of DOOM!</t>
  </si>
  <si>
    <t>These lifting spikes will get the job done right with</t>
  </si>
  <si>
    <t>This toothless grinding disc doesn't do as much damage, but is tough and can eventually wear down your opponent.</t>
  </si>
  <si>
    <t>Pussycat's distinctive blade is powerful, but cannot be spun at excessive RPM's without wobbling.</t>
  </si>
  <si>
    <t>Robot X's long sai-shaped spike.</t>
  </si>
  <si>
    <t>Ronin's lethal disc is now in your hands with</t>
  </si>
  <si>
    <t>Study the way of the Bushido, my young warrior-friend.</t>
  </si>
  <si>
    <t>This menacing claw can kill a lot in many applications with</t>
  </si>
  <si>
    <t>This weapon is intended to be a drill but can easily be adapted for other uses too.  It has</t>
  </si>
  <si>
    <t>A small, lightweight axe to bring down the pain on your opponents micro-style.</t>
  </si>
  <si>
    <t>Tazbot's multi-purpose arm can be a weapon or a flipper.</t>
  </si>
  <si>
    <t>Here is Tornado's small convenient spike that can dish out the damage and take some of its own with</t>
  </si>
  <si>
    <t>Tornado's small drum weapon, ready to plug and play with</t>
  </si>
  <si>
    <t>This is the lightest, smallest spike available.  It has</t>
  </si>
  <si>
    <t>This huge tooth from Typhoon 2 is sure to cause damage.</t>
  </si>
  <si>
    <t>A smaller and more manageable tooth from Typhoon 2.</t>
  </si>
  <si>
    <t>A sharp chisel point to put on the ends of extenders.  Can be used as a weapon or just a means of getting under bots.</t>
  </si>
  <si>
    <t>Whirl Wep's grinding disc is very tough but not as damaging with</t>
  </si>
  <si>
    <t>Classic meat tenderizer weapon as seen on Son of Whyachi and YU812.</t>
  </si>
  <si>
    <t>styles\battleaxe2.txt</t>
  </si>
  <si>
    <t>styles\beater2.txt</t>
  </si>
  <si>
    <t>styles\beater3.txt</t>
  </si>
  <si>
    <t>styles\behemothweapon.txt</t>
  </si>
  <si>
    <t>styles\billysaw.TXT</t>
  </si>
  <si>
    <t>styles\cbmoeh30.txt</t>
  </si>
  <si>
    <t>styles\clepblade.TXT</t>
  </si>
  <si>
    <t>styles\cleptail.txt</t>
  </si>
  <si>
    <t>styles\diabloflipper.txt</t>
  </si>
  <si>
    <t>styles\dreaddisc.TXT</t>
  </si>
  <si>
    <t>styles\dslaxe.txt</t>
  </si>
  <si>
    <t>styles\dslbar10.txt</t>
  </si>
  <si>
    <t>styles\dslbar11.txt</t>
  </si>
  <si>
    <t>styles\dslbar12.txt</t>
  </si>
  <si>
    <t>styles\dslbar13.txt</t>
  </si>
  <si>
    <t>styles\dslbar14.txt</t>
  </si>
  <si>
    <t>styles\dslbar15.txt</t>
  </si>
  <si>
    <t>styles\dslbar16.txt</t>
  </si>
  <si>
    <t>styles\dslbar17.txt</t>
  </si>
  <si>
    <t>styles\dslbar18.txt</t>
  </si>
  <si>
    <t>styles\dslbar2.txt</t>
  </si>
  <si>
    <t>styles\dslbar3.txt</t>
  </si>
  <si>
    <t>styles\dslbar4.txt</t>
  </si>
  <si>
    <t>styles\dslbar5.txt</t>
  </si>
  <si>
    <t>styles\dslbar6.txt</t>
  </si>
  <si>
    <t>styles\dslbar7.txt</t>
  </si>
  <si>
    <t>styles\dslbar8.txt</t>
  </si>
  <si>
    <t>styles\dslbar9.txt</t>
  </si>
  <si>
    <t>styles\dsldarkspike1.txt</t>
  </si>
  <si>
    <t>styles\dslfireaxe1.txt</t>
  </si>
  <si>
    <t>styles\dslhammer.txt</t>
  </si>
  <si>
    <t>styles\dslicepick1.txt</t>
  </si>
  <si>
    <t>styles\dslmace1.txt</t>
  </si>
  <si>
    <t>styles\dslmower_blade1.txt</t>
  </si>
  <si>
    <t>styles\dslpointy_tip.txt</t>
  </si>
  <si>
    <t>styles\dslpolespike1.txt</t>
  </si>
  <si>
    <t>styles\dslpolespike2.txt</t>
  </si>
  <si>
    <t>styles\dslpolespike3.txt</t>
  </si>
  <si>
    <t>styles\dslrazortip1.txt</t>
  </si>
  <si>
    <t>styles\dslteeth02.txt</t>
  </si>
  <si>
    <t>styles\dslteeth03.txt</t>
  </si>
  <si>
    <t>styles\dslteeth04.txt</t>
  </si>
  <si>
    <t>styles\frenzyhammer2.txt</t>
  </si>
  <si>
    <t>styles\hammerheads02.TXT</t>
  </si>
  <si>
    <t>styles\hammerheads03.TXT</t>
  </si>
  <si>
    <t>styles\hammerheads04.TXT</t>
  </si>
  <si>
    <t>styles\heavyspike1.txt</t>
  </si>
  <si>
    <t>styles\heavyspike2.txt</t>
  </si>
  <si>
    <t>styles\heavyspike3.txt</t>
  </si>
  <si>
    <t>styles\heavyspike4.txt</t>
  </si>
  <si>
    <t>styles\heavyspike5.txt</t>
  </si>
  <si>
    <t>styles\Hsledgehammer1.txt</t>
  </si>
  <si>
    <t>styles\hypotooth2.txt</t>
  </si>
  <si>
    <t>styles\icepick2.txt</t>
  </si>
  <si>
    <t>styles\ironfist1.txt</t>
  </si>
  <si>
    <t>styles\lightningspike2.txt</t>
  </si>
  <si>
    <t>styles\matildatooth.txt</t>
  </si>
  <si>
    <t>styles\mechdisc.TXT</t>
  </si>
  <si>
    <t>styles\miniondisc.TXT</t>
  </si>
  <si>
    <t>styles\moeblade.txt</t>
  </si>
  <si>
    <t>styles\nightmaretooth1.txt</t>
  </si>
  <si>
    <t>styles\nightmaretooth2.txt</t>
  </si>
  <si>
    <t>styles\ninjastar1.txt</t>
  </si>
  <si>
    <t>styles\overkillblade.txt</t>
  </si>
  <si>
    <t>styles\paflipper.txt</t>
  </si>
  <si>
    <t>styles\potterdisc.TXT</t>
  </si>
  <si>
    <t>styles\pussycatblade.TXT</t>
  </si>
  <si>
    <t>styles\robotxspike.txt</t>
  </si>
  <si>
    <t>styles\ronindisc.TXT</t>
  </si>
  <si>
    <t>styles\samurai1.txt</t>
  </si>
  <si>
    <t>styles\sawblade2.txt</t>
  </si>
  <si>
    <t>styles\sawblade3.txt</t>
  </si>
  <si>
    <t>styles\sawblade4.txt</t>
  </si>
  <si>
    <t>styles\sawblade5.txt</t>
  </si>
  <si>
    <t>styles\sirclaw.txt</t>
  </si>
  <si>
    <t>styles\sirdrill.txt</t>
  </si>
  <si>
    <t>styles\sozweapon.txt</t>
  </si>
  <si>
    <t>styles\tazweapon.txt</t>
  </si>
  <si>
    <t>styles\tornadospike.txt</t>
  </si>
  <si>
    <t>styles\tornadoweapon.txt</t>
  </si>
  <si>
    <t>styles\typhoonspike.txt</t>
  </si>
  <si>
    <t>styles\typhoontoothl.txt</t>
  </si>
  <si>
    <t>styles\typhoontooths.txt</t>
  </si>
  <si>
    <t>styles\wedge_steel.txt</t>
  </si>
  <si>
    <t>styles\wedge_ti.txt</t>
  </si>
  <si>
    <t>styles\whirldisc.TXT</t>
  </si>
  <si>
    <t>styles\yuhammer.txt</t>
  </si>
  <si>
    <t>styles\backlashdisk.TXT</t>
  </si>
  <si>
    <t>{HP} HP, {DP} DP, {fracture} fracture, and {normal} normal.</t>
  </si>
  <si>
    <t>These are the disc weapons used on the AI replicas.  259's mean weapon boasts</t>
  </si>
  <si>
    <t>NPC fast</t>
  </si>
  <si>
    <t>Perm 80 R S</t>
  </si>
  <si>
    <t>Perm 80 R EEL</t>
  </si>
  <si>
    <t>Perm 80 R EEEL</t>
  </si>
  <si>
    <t>Perm 80 R EL</t>
  </si>
  <si>
    <t>Perm 80 R M</t>
  </si>
  <si>
    <t>Perm 80 R L</t>
  </si>
  <si>
    <t>Perm 132 R S</t>
  </si>
  <si>
    <t>Perm 132 R EL</t>
  </si>
  <si>
    <t>Perm 132 R EEL</t>
  </si>
  <si>
    <t>Perm 132 R EEEL</t>
  </si>
  <si>
    <t>Perm 132 R M</t>
  </si>
  <si>
    <t>Perm 132 R L</t>
  </si>
  <si>
    <t>Storm FH</t>
  </si>
  <si>
    <t>VDMA FH</t>
  </si>
  <si>
    <t>styles\morosblade.txt</t>
  </si>
  <si>
    <t>Moros Blade</t>
  </si>
  <si>
    <t>Heavy steel bar with sharpened ends.  Like the standard DSL bars, but it comes pre-assembled.</t>
  </si>
  <si>
    <t>N12 LR</t>
  </si>
  <si>
    <t>styles\mechdisc2.txt</t>
  </si>
  <si>
    <t>MechaVore disc</t>
  </si>
  <si>
    <t>MicroVore disc</t>
  </si>
  <si>
    <t>MechaVore's deadly disc will really live up to its namesake if you spin it fast enough.</t>
  </si>
  <si>
    <t>A smaller, lighter version of MechaVore's disc with</t>
  </si>
  <si>
    <t>Whirl</t>
  </si>
  <si>
    <t>styles\vladpoker2.txt</t>
  </si>
  <si>
    <t>Vladiator spear</t>
  </si>
  <si>
    <t>There is no bigger spike in the history of the sport than Vladiator's impaling spear.  It also has extra teeth for catching bots.</t>
  </si>
  <si>
    <t>Mini Vladiator spear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</si>
</sst>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0" borderId="14" xfId="0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7" borderId="14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Fill="1" applyAlignment="1">
      <alignment/>
    </xf>
    <xf numFmtId="0" fontId="0" fillId="35" borderId="11" xfId="0" applyFont="1" applyFill="1" applyBorder="1" applyAlignment="1">
      <alignment/>
    </xf>
    <xf numFmtId="0" fontId="0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0"/>
  <sheetViews>
    <sheetView tabSelected="1" zoomScalePageLayoutView="0" workbookViewId="0" topLeftCell="A91">
      <selection activeCell="A113" sqref="A113"/>
    </sheetView>
  </sheetViews>
  <sheetFormatPr defaultColWidth="9.140625" defaultRowHeight="12.75"/>
  <cols>
    <col min="1" max="1" width="24.28125" style="0" bestFit="1" customWidth="1"/>
    <col min="2" max="2" width="16.421875" style="22" customWidth="1"/>
    <col min="3" max="3" width="9.140625" style="27" customWidth="1"/>
    <col min="4" max="4" width="9.140625" style="18" customWidth="1"/>
    <col min="9" max="10" width="9.140625" style="18" customWidth="1"/>
    <col min="11" max="11" width="9.140625" style="22" customWidth="1"/>
    <col min="12" max="12" width="9.140625" style="34" customWidth="1"/>
    <col min="13" max="13" width="11.140625" style="36" customWidth="1"/>
    <col min="14" max="14" width="9.140625" style="20" customWidth="1"/>
    <col min="16" max="16" width="9.140625" style="24" customWidth="1"/>
    <col min="17" max="17" width="124.57421875" style="0" bestFit="1" customWidth="1"/>
    <col min="18" max="18" width="10.28125" style="0" bestFit="1" customWidth="1"/>
  </cols>
  <sheetData>
    <row r="1" spans="1:19" ht="13.5" thickBot="1">
      <c r="A1" s="2" t="s">
        <v>444</v>
      </c>
      <c r="B1" s="12" t="s">
        <v>0</v>
      </c>
      <c r="C1" s="26" t="s">
        <v>472</v>
      </c>
      <c r="D1" s="31" t="s">
        <v>473</v>
      </c>
      <c r="E1" s="25" t="s">
        <v>465</v>
      </c>
      <c r="F1" s="6" t="s">
        <v>356</v>
      </c>
      <c r="G1" s="6" t="s">
        <v>428</v>
      </c>
      <c r="H1" s="6" t="s">
        <v>429</v>
      </c>
      <c r="I1" s="17" t="s">
        <v>464</v>
      </c>
      <c r="J1" s="17" t="s">
        <v>9</v>
      </c>
      <c r="K1" s="12" t="s">
        <v>430</v>
      </c>
      <c r="L1" s="33" t="s">
        <v>471</v>
      </c>
      <c r="M1" s="35" t="s">
        <v>470</v>
      </c>
      <c r="N1" s="37" t="s">
        <v>469</v>
      </c>
      <c r="O1" s="12" t="s">
        <v>11</v>
      </c>
      <c r="P1" s="30" t="s">
        <v>468</v>
      </c>
      <c r="Q1" s="29" t="s">
        <v>467</v>
      </c>
      <c r="R1" s="29" t="s">
        <v>467</v>
      </c>
      <c r="S1" t="s">
        <v>638</v>
      </c>
    </row>
    <row r="2" spans="1:18" ht="12.75">
      <c r="A2" t="s">
        <v>458</v>
      </c>
      <c r="B2" s="22" t="s">
        <v>403</v>
      </c>
      <c r="C2" s="27">
        <v>45</v>
      </c>
      <c r="D2" s="18">
        <v>4</v>
      </c>
      <c r="E2">
        <v>1.4</v>
      </c>
      <c r="F2">
        <f aca="true" t="shared" si="0" ref="F2:F33">(O2*C2)/G2</f>
        <v>475</v>
      </c>
      <c r="G2">
        <f aca="true" t="shared" si="1" ref="G2:G33">C2*200</f>
        <v>9000</v>
      </c>
      <c r="H2">
        <v>1</v>
      </c>
      <c r="I2" s="18">
        <f>ROUND(F2*E2*H2,0)</f>
        <v>665</v>
      </c>
      <c r="J2" s="18">
        <f>ROUND(G2/H2,0)</f>
        <v>9000</v>
      </c>
      <c r="K2" s="22">
        <v>0.5</v>
      </c>
      <c r="L2" s="34">
        <f>ROUND(I2*K2/200,2)</f>
        <v>1.66</v>
      </c>
      <c r="M2" s="36">
        <f>ROUND(I2*(1-K2)/100,2)</f>
        <v>3.33</v>
      </c>
      <c r="N2" s="20">
        <v>300</v>
      </c>
      <c r="O2">
        <f aca="true" t="shared" si="2" ref="O2:O33">50000+(C2*1000)</f>
        <v>95000</v>
      </c>
      <c r="P2" s="24">
        <v>18</v>
      </c>
      <c r="Q2" s="28" t="str">
        <f>R2&amp;" "&amp;$S$1</f>
        <v>These are the disc weapons used on the AI replicas.  259's mean weapon boasts {HP} HP, {DP} DP, {fracture} fracture, and {normal} normal.</v>
      </c>
      <c r="R2" s="28" t="s">
        <v>639</v>
      </c>
    </row>
    <row r="3" spans="1:18" ht="12.75">
      <c r="A3" t="s">
        <v>447</v>
      </c>
      <c r="B3" s="22" t="s">
        <v>86</v>
      </c>
      <c r="C3" s="27">
        <v>10</v>
      </c>
      <c r="D3" s="18">
        <v>2</v>
      </c>
      <c r="E3">
        <v>1.4</v>
      </c>
      <c r="F3">
        <f t="shared" si="0"/>
        <v>300</v>
      </c>
      <c r="G3">
        <f t="shared" si="1"/>
        <v>2000</v>
      </c>
      <c r="H3">
        <v>1.3</v>
      </c>
      <c r="I3" s="18">
        <f aca="true" t="shared" si="3" ref="I3:I66">ROUND(F3*E3*H3,0)</f>
        <v>546</v>
      </c>
      <c r="J3" s="18">
        <f aca="true" t="shared" si="4" ref="J3:J66">ROUND(G3/H3,0)</f>
        <v>1538</v>
      </c>
      <c r="K3" s="22">
        <v>0.6</v>
      </c>
      <c r="L3" s="34">
        <f aca="true" t="shared" si="5" ref="L3:L66">ROUND(I3*K3/200,2)</f>
        <v>1.64</v>
      </c>
      <c r="M3" s="36">
        <f aca="true" t="shared" si="6" ref="M3:M66">ROUND(I3*(1-K3)/100,2)</f>
        <v>2.18</v>
      </c>
      <c r="N3" s="20">
        <v>50</v>
      </c>
      <c r="O3">
        <f t="shared" si="2"/>
        <v>60000</v>
      </c>
      <c r="P3" s="24">
        <v>12</v>
      </c>
      <c r="Q3" s="28" t="str">
        <f aca="true" t="shared" si="7" ref="Q3:Q66">R3&amp;" "&amp;$S$1</f>
        <v>Grrrrrr!! {HP} HP, {DP} DP, {fracture} fracture, and {normal} normal.</v>
      </c>
      <c r="R3" s="28" t="s">
        <v>474</v>
      </c>
    </row>
    <row r="4" spans="1:18" ht="12.75">
      <c r="A4" t="s">
        <v>448</v>
      </c>
      <c r="B4" s="22" t="s">
        <v>75</v>
      </c>
      <c r="C4" s="27">
        <v>5</v>
      </c>
      <c r="D4" s="32" t="s">
        <v>466</v>
      </c>
      <c r="E4">
        <v>1</v>
      </c>
      <c r="F4">
        <f t="shared" si="0"/>
        <v>275</v>
      </c>
      <c r="G4">
        <f t="shared" si="1"/>
        <v>1000</v>
      </c>
      <c r="H4">
        <v>0.8</v>
      </c>
      <c r="I4" s="18">
        <f t="shared" si="3"/>
        <v>220</v>
      </c>
      <c r="J4" s="18">
        <f t="shared" si="4"/>
        <v>1250</v>
      </c>
      <c r="K4" s="22">
        <v>0</v>
      </c>
      <c r="L4" s="34">
        <f t="shared" si="5"/>
        <v>0</v>
      </c>
      <c r="M4" s="36">
        <f t="shared" si="6"/>
        <v>2.2</v>
      </c>
      <c r="N4" s="20">
        <v>50</v>
      </c>
      <c r="O4">
        <f t="shared" si="2"/>
        <v>55000</v>
      </c>
      <c r="P4" s="24">
        <v>6</v>
      </c>
      <c r="Q4" s="28" t="str">
        <f t="shared" si="7"/>
        <v>A small steel bar to add a little bite to your drum weapon.  They can also be stacked end-to-end to make an eggbeater weapon.  This small one has {HP} HP, {DP} DP, {fracture} fracture, and {normal} normal.</v>
      </c>
      <c r="R4" s="28" t="s">
        <v>475</v>
      </c>
    </row>
    <row r="5" spans="1:18" ht="12.75">
      <c r="A5" t="s">
        <v>451</v>
      </c>
      <c r="B5" s="22" t="s">
        <v>57</v>
      </c>
      <c r="C5" s="27">
        <v>6.6</v>
      </c>
      <c r="D5" s="18">
        <v>2</v>
      </c>
      <c r="E5">
        <v>1.4</v>
      </c>
      <c r="F5">
        <f t="shared" si="0"/>
        <v>283</v>
      </c>
      <c r="G5">
        <f t="shared" si="1"/>
        <v>1320</v>
      </c>
      <c r="H5">
        <v>0.8</v>
      </c>
      <c r="I5" s="18">
        <f t="shared" si="3"/>
        <v>317</v>
      </c>
      <c r="J5" s="18">
        <f t="shared" si="4"/>
        <v>1650</v>
      </c>
      <c r="K5" s="22">
        <v>0.5</v>
      </c>
      <c r="L5" s="34">
        <f t="shared" si="5"/>
        <v>0.79</v>
      </c>
      <c r="M5" s="36">
        <f t="shared" si="6"/>
        <v>1.59</v>
      </c>
      <c r="N5" s="20">
        <v>300</v>
      </c>
      <c r="O5">
        <f t="shared" si="2"/>
        <v>56600</v>
      </c>
      <c r="P5" s="24">
        <v>13</v>
      </c>
      <c r="Q5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5" s="28" t="s">
        <v>476</v>
      </c>
    </row>
    <row r="6" spans="1:18" ht="12.75">
      <c r="A6" t="s">
        <v>446</v>
      </c>
      <c r="B6" s="22" t="s">
        <v>36</v>
      </c>
      <c r="C6" s="27">
        <v>52</v>
      </c>
      <c r="D6" s="18">
        <v>2</v>
      </c>
      <c r="E6">
        <v>2</v>
      </c>
      <c r="F6">
        <f t="shared" si="0"/>
        <v>510</v>
      </c>
      <c r="G6">
        <f t="shared" si="1"/>
        <v>10400</v>
      </c>
      <c r="H6">
        <v>0.9</v>
      </c>
      <c r="I6" s="18">
        <f t="shared" si="3"/>
        <v>918</v>
      </c>
      <c r="J6" s="18">
        <f t="shared" si="4"/>
        <v>11556</v>
      </c>
      <c r="K6" s="22">
        <v>0.5</v>
      </c>
      <c r="L6" s="34">
        <f t="shared" si="5"/>
        <v>2.3</v>
      </c>
      <c r="M6" s="36">
        <f t="shared" si="6"/>
        <v>4.59</v>
      </c>
      <c r="N6" s="20">
        <v>300</v>
      </c>
      <c r="O6">
        <f t="shared" si="2"/>
        <v>102000</v>
      </c>
      <c r="P6" s="24">
        <v>3</v>
      </c>
      <c r="Q6" s="28" t="str">
        <f t="shared" si="7"/>
        <v>Double sided war axe for ultimate terror.  It has a terrifying {HP} HP, {DP} DP, {fracture} fracture, and {normal} normal.</v>
      </c>
      <c r="R6" s="28" t="s">
        <v>477</v>
      </c>
    </row>
    <row r="7" spans="1:18" ht="12.75">
      <c r="A7" t="s">
        <v>449</v>
      </c>
      <c r="B7" s="22" t="s">
        <v>78</v>
      </c>
      <c r="C7" s="27">
        <v>35</v>
      </c>
      <c r="D7" s="18">
        <v>4</v>
      </c>
      <c r="E7">
        <v>1.4</v>
      </c>
      <c r="F7">
        <f t="shared" si="0"/>
        <v>425</v>
      </c>
      <c r="G7">
        <f t="shared" si="1"/>
        <v>7000</v>
      </c>
      <c r="H7">
        <v>0.8</v>
      </c>
      <c r="I7" s="18">
        <f t="shared" si="3"/>
        <v>476</v>
      </c>
      <c r="J7" s="18">
        <f t="shared" si="4"/>
        <v>8750</v>
      </c>
      <c r="K7" s="22">
        <v>0.7</v>
      </c>
      <c r="L7" s="34">
        <f t="shared" si="5"/>
        <v>1.67</v>
      </c>
      <c r="M7" s="36">
        <f t="shared" si="6"/>
        <v>1.43</v>
      </c>
      <c r="N7" s="20">
        <v>300</v>
      </c>
      <c r="O7">
        <f t="shared" si="2"/>
        <v>85000</v>
      </c>
      <c r="P7" s="24">
        <v>16</v>
      </c>
      <c r="Q7" s="28" t="str">
        <f t="shared" si="7"/>
        <v>More than a sawblade, the Canine VI is machined nearly 5 cm thick. Always wear your safety glasses!  It has {HP} HP, {DP} DP, {fracture} fracture, and {normal} normal.</v>
      </c>
      <c r="R7" s="28" t="s">
        <v>478</v>
      </c>
    </row>
    <row r="8" spans="1:18" ht="12.75">
      <c r="A8" t="s">
        <v>456</v>
      </c>
      <c r="B8" s="22" t="s">
        <v>96</v>
      </c>
      <c r="C8" s="27">
        <v>12</v>
      </c>
      <c r="D8" s="18">
        <v>4</v>
      </c>
      <c r="E8">
        <v>1.4</v>
      </c>
      <c r="F8">
        <f t="shared" si="0"/>
        <v>310</v>
      </c>
      <c r="G8">
        <f t="shared" si="1"/>
        <v>2400</v>
      </c>
      <c r="H8">
        <v>1</v>
      </c>
      <c r="I8" s="18">
        <f t="shared" si="3"/>
        <v>434</v>
      </c>
      <c r="J8" s="18">
        <f t="shared" si="4"/>
        <v>2400</v>
      </c>
      <c r="K8" s="22">
        <v>0.9</v>
      </c>
      <c r="L8" s="34">
        <f t="shared" si="5"/>
        <v>1.95</v>
      </c>
      <c r="M8" s="36">
        <f t="shared" si="6"/>
        <v>0.43</v>
      </c>
      <c r="N8" s="20">
        <v>50</v>
      </c>
      <c r="O8">
        <f t="shared" si="2"/>
        <v>62000</v>
      </c>
      <c r="P8" s="24">
        <v>17</v>
      </c>
      <c r="Q8" s="28" t="str">
        <f t="shared" si="7"/>
        <v>Fine carbide steel sawblade, available in a range of sizes for your cutting pleasure.  It has {HP} HP, {DP} DP, {fracture} fracture, and {normal} normal.</v>
      </c>
      <c r="R8" s="28" t="s">
        <v>480</v>
      </c>
    </row>
    <row r="9" spans="1:18" ht="12.75">
      <c r="A9" t="s">
        <v>453</v>
      </c>
      <c r="B9" s="22" t="s">
        <v>44</v>
      </c>
      <c r="C9" s="27">
        <v>30</v>
      </c>
      <c r="D9" s="32" t="s">
        <v>466</v>
      </c>
      <c r="E9">
        <v>1</v>
      </c>
      <c r="F9">
        <f t="shared" si="0"/>
        <v>400</v>
      </c>
      <c r="G9">
        <f t="shared" si="1"/>
        <v>6000</v>
      </c>
      <c r="H9">
        <v>0.75</v>
      </c>
      <c r="I9" s="18">
        <f t="shared" si="3"/>
        <v>300</v>
      </c>
      <c r="J9" s="18">
        <f t="shared" si="4"/>
        <v>8000</v>
      </c>
      <c r="K9" s="22">
        <v>0</v>
      </c>
      <c r="L9" s="34">
        <f t="shared" si="5"/>
        <v>0</v>
      </c>
      <c r="M9" s="36">
        <f t="shared" si="6"/>
        <v>3</v>
      </c>
      <c r="N9" s="20">
        <v>500</v>
      </c>
      <c r="O9">
        <f t="shared" si="2"/>
        <v>80000</v>
      </c>
      <c r="P9" s="24">
        <v>4</v>
      </c>
      <c r="Q9" s="28" t="str">
        <f t="shared" si="7"/>
        <v>Heavy. Good for smash stuff. {HP} HP, {DP} DP, {fracture} fracture, and {normal} normal.</v>
      </c>
      <c r="R9" t="s">
        <v>481</v>
      </c>
    </row>
    <row r="10" spans="1:18" ht="12.75">
      <c r="A10" t="s">
        <v>455</v>
      </c>
      <c r="B10" s="22" t="s">
        <v>47</v>
      </c>
      <c r="C10" s="27">
        <v>16</v>
      </c>
      <c r="D10" s="18">
        <v>3</v>
      </c>
      <c r="E10">
        <v>1.4</v>
      </c>
      <c r="F10">
        <f t="shared" si="0"/>
        <v>330</v>
      </c>
      <c r="G10">
        <f t="shared" si="1"/>
        <v>3200</v>
      </c>
      <c r="H10">
        <v>0.8</v>
      </c>
      <c r="I10" s="18">
        <f t="shared" si="3"/>
        <v>370</v>
      </c>
      <c r="J10" s="18">
        <f t="shared" si="4"/>
        <v>4000</v>
      </c>
      <c r="K10" s="22">
        <v>0.3</v>
      </c>
      <c r="L10" s="34">
        <f t="shared" si="5"/>
        <v>0.56</v>
      </c>
      <c r="M10" s="36">
        <f t="shared" si="6"/>
        <v>2.59</v>
      </c>
      <c r="N10" s="20">
        <v>50</v>
      </c>
      <c r="O10">
        <f t="shared" si="2"/>
        <v>66000</v>
      </c>
      <c r="P10" s="24">
        <v>2</v>
      </c>
      <c r="Q10" s="28" t="str">
        <f t="shared" si="7"/>
        <v>This fear-inspiring spiked club is a replica of an ancient weapon. It has {HP} HP, {DP} DP, {fracture} fracture, and {normal} normal.</v>
      </c>
      <c r="R10" t="s">
        <v>482</v>
      </c>
    </row>
    <row r="11" spans="1:18" ht="12.75">
      <c r="A11" t="s">
        <v>454</v>
      </c>
      <c r="B11" s="22" t="s">
        <v>50</v>
      </c>
      <c r="C11" s="27">
        <v>12</v>
      </c>
      <c r="D11" s="18">
        <v>2</v>
      </c>
      <c r="E11">
        <v>1.4</v>
      </c>
      <c r="F11">
        <f t="shared" si="0"/>
        <v>310</v>
      </c>
      <c r="G11">
        <f t="shared" si="1"/>
        <v>2400</v>
      </c>
      <c r="H11">
        <v>1.2</v>
      </c>
      <c r="I11" s="18">
        <f t="shared" si="3"/>
        <v>521</v>
      </c>
      <c r="J11" s="18">
        <f t="shared" si="4"/>
        <v>2000</v>
      </c>
      <c r="K11" s="22">
        <v>1</v>
      </c>
      <c r="L11" s="34">
        <f t="shared" si="5"/>
        <v>2.61</v>
      </c>
      <c r="M11" s="36">
        <f t="shared" si="6"/>
        <v>0</v>
      </c>
      <c r="N11" s="20">
        <v>50</v>
      </c>
      <c r="O11">
        <f t="shared" si="2"/>
        <v>62000</v>
      </c>
      <c r="P11" s="24">
        <v>1</v>
      </c>
      <c r="Q11" s="28" t="str">
        <f t="shared" si="7"/>
        <v>This jagged metal strip can be mounted on its bottom side or rear tip.  It has {HP} HP, {DP} DP, {fracture} fracture, and {normal} normal.</v>
      </c>
      <c r="R11" t="s">
        <v>483</v>
      </c>
    </row>
    <row r="12" spans="1:18" ht="12.75">
      <c r="A12" t="s">
        <v>450</v>
      </c>
      <c r="B12" s="22" t="s">
        <v>80</v>
      </c>
      <c r="C12" s="27">
        <v>7</v>
      </c>
      <c r="D12" s="18">
        <v>1.5</v>
      </c>
      <c r="E12">
        <v>2</v>
      </c>
      <c r="F12">
        <f t="shared" si="0"/>
        <v>285</v>
      </c>
      <c r="G12">
        <f t="shared" si="1"/>
        <v>1400</v>
      </c>
      <c r="H12">
        <v>1</v>
      </c>
      <c r="I12" s="18">
        <f t="shared" si="3"/>
        <v>570</v>
      </c>
      <c r="J12" s="18">
        <f t="shared" si="4"/>
        <v>1400</v>
      </c>
      <c r="K12" s="22">
        <v>0.7</v>
      </c>
      <c r="L12" s="34">
        <f t="shared" si="5"/>
        <v>2</v>
      </c>
      <c r="M12" s="36">
        <f t="shared" si="6"/>
        <v>1.71</v>
      </c>
      <c r="N12" s="20">
        <v>50</v>
      </c>
      <c r="O12">
        <f t="shared" si="2"/>
        <v>57000</v>
      </c>
      <c r="P12" s="24">
        <v>7</v>
      </c>
      <c r="Q12" s="28" t="str">
        <f t="shared" si="7"/>
        <v>This small tooth works best on spinning disc weapons as a saw blade-like tooth.  It has {HP} HP, {DP} DP, {fracture} fracture, and {normal} normal.</v>
      </c>
      <c r="R12" t="s">
        <v>484</v>
      </c>
    </row>
    <row r="13" spans="1:18" ht="12.75">
      <c r="A13" t="s">
        <v>462</v>
      </c>
      <c r="B13" s="22" t="s">
        <v>423</v>
      </c>
      <c r="C13" s="27">
        <v>40</v>
      </c>
      <c r="D13" s="18">
        <v>2</v>
      </c>
      <c r="E13">
        <v>1.4</v>
      </c>
      <c r="F13">
        <f t="shared" si="0"/>
        <v>450</v>
      </c>
      <c r="G13">
        <f t="shared" si="1"/>
        <v>8000</v>
      </c>
      <c r="H13">
        <v>0.85</v>
      </c>
      <c r="I13" s="18">
        <f t="shared" si="3"/>
        <v>536</v>
      </c>
      <c r="J13" s="18">
        <f t="shared" si="4"/>
        <v>9412</v>
      </c>
      <c r="K13" s="22">
        <v>0.5</v>
      </c>
      <c r="L13" s="34">
        <f t="shared" si="5"/>
        <v>1.34</v>
      </c>
      <c r="M13" s="36">
        <f t="shared" si="6"/>
        <v>2.68</v>
      </c>
      <c r="N13" s="20">
        <v>400</v>
      </c>
      <c r="O13">
        <f t="shared" si="2"/>
        <v>90000</v>
      </c>
      <c r="P13" s="24">
        <v>14</v>
      </c>
      <c r="Q13" s="28" t="str">
        <f t="shared" si="7"/>
        <v>A heavy weapon from the robot Fluffy with {HP} HP, {DP} DP, {fracture} fracture, and {normal} normal.</v>
      </c>
      <c r="R13" t="s">
        <v>485</v>
      </c>
    </row>
    <row r="14" spans="1:18" ht="12.75">
      <c r="A14" t="s">
        <v>452</v>
      </c>
      <c r="B14" s="22" t="s">
        <v>40</v>
      </c>
      <c r="C14" s="27">
        <v>50</v>
      </c>
      <c r="D14" s="32" t="s">
        <v>466</v>
      </c>
      <c r="E14">
        <v>1</v>
      </c>
      <c r="F14">
        <f t="shared" si="0"/>
        <v>500</v>
      </c>
      <c r="G14">
        <f t="shared" si="1"/>
        <v>10000</v>
      </c>
      <c r="H14">
        <v>0.75</v>
      </c>
      <c r="I14" s="18">
        <f t="shared" si="3"/>
        <v>375</v>
      </c>
      <c r="J14" s="18">
        <f t="shared" si="4"/>
        <v>13333</v>
      </c>
      <c r="K14" s="22">
        <v>0</v>
      </c>
      <c r="L14" s="34">
        <f t="shared" si="5"/>
        <v>0</v>
      </c>
      <c r="M14" s="36">
        <f t="shared" si="6"/>
        <v>3.75</v>
      </c>
      <c r="N14" s="20">
        <v>500</v>
      </c>
      <c r="O14">
        <f t="shared" si="2"/>
        <v>100000</v>
      </c>
      <c r="P14" s="24">
        <v>5</v>
      </c>
      <c r="Q14" s="28" t="str">
        <f t="shared" si="7"/>
        <v>When you need a lot of pure brute force compacted into one mother-of-all-weapons, these hammers are the way to go.  This one has {HP} HP, {DP} DP, {fracture} fracture, and {normal} normal.</v>
      </c>
      <c r="R14" t="s">
        <v>486</v>
      </c>
    </row>
    <row r="15" spans="1:18" ht="12.75">
      <c r="A15" t="s">
        <v>457</v>
      </c>
      <c r="B15" s="22" t="s">
        <v>400</v>
      </c>
      <c r="C15" s="27">
        <v>3</v>
      </c>
      <c r="D15" s="18">
        <v>1.5</v>
      </c>
      <c r="E15">
        <v>2</v>
      </c>
      <c r="F15">
        <f t="shared" si="0"/>
        <v>265</v>
      </c>
      <c r="G15">
        <f t="shared" si="1"/>
        <v>600</v>
      </c>
      <c r="H15">
        <v>1</v>
      </c>
      <c r="I15" s="18">
        <f t="shared" si="3"/>
        <v>530</v>
      </c>
      <c r="J15" s="18">
        <f t="shared" si="4"/>
        <v>600</v>
      </c>
      <c r="K15" s="22">
        <v>0.7</v>
      </c>
      <c r="L15" s="34">
        <f t="shared" si="5"/>
        <v>1.86</v>
      </c>
      <c r="M15" s="36">
        <f t="shared" si="6"/>
        <v>1.59</v>
      </c>
      <c r="N15" s="20">
        <v>50</v>
      </c>
      <c r="O15">
        <f t="shared" si="2"/>
        <v>53000</v>
      </c>
      <c r="P15" s="24">
        <v>8</v>
      </c>
      <c r="Q15" s="28" t="str">
        <f t="shared" si="7"/>
        <v>Very small shark tooth style weapon, perfect for adding on to a drum weapon. {HP} HP, {DP} DP, {fracture} fracture, and {normal} normal.</v>
      </c>
      <c r="R15" t="s">
        <v>487</v>
      </c>
    </row>
    <row r="16" spans="1:18" ht="12.75">
      <c r="A16" t="s">
        <v>461</v>
      </c>
      <c r="B16" s="22" t="s">
        <v>416</v>
      </c>
      <c r="C16" s="27">
        <v>35</v>
      </c>
      <c r="D16" s="18">
        <v>3</v>
      </c>
      <c r="E16">
        <v>1.4</v>
      </c>
      <c r="F16">
        <f t="shared" si="0"/>
        <v>425</v>
      </c>
      <c r="G16">
        <f t="shared" si="1"/>
        <v>7000</v>
      </c>
      <c r="H16">
        <v>1</v>
      </c>
      <c r="I16" s="18">
        <f t="shared" si="3"/>
        <v>595</v>
      </c>
      <c r="J16" s="18">
        <f t="shared" si="4"/>
        <v>7000</v>
      </c>
      <c r="K16" s="22">
        <v>0.4</v>
      </c>
      <c r="L16" s="34">
        <f t="shared" si="5"/>
        <v>1.19</v>
      </c>
      <c r="M16" s="36">
        <f t="shared" si="6"/>
        <v>3.57</v>
      </c>
      <c r="N16" s="20">
        <v>300</v>
      </c>
      <c r="O16">
        <f t="shared" si="2"/>
        <v>85000</v>
      </c>
      <c r="P16" s="24">
        <v>11</v>
      </c>
      <c r="Q16" s="28" t="str">
        <f t="shared" si="7"/>
        <v>This big, colorful blade is sure to attract some attention.  Especially when it makes mincemeat of your opponent! {HP} HP, {DP} DP, {fracture} fracture, and {normal} normal.</v>
      </c>
      <c r="R16" t="s">
        <v>488</v>
      </c>
    </row>
    <row r="17" spans="1:18" ht="12.75">
      <c r="A17" t="s">
        <v>445</v>
      </c>
      <c r="B17" s="22" t="s">
        <v>33</v>
      </c>
      <c r="C17" s="27">
        <v>7</v>
      </c>
      <c r="D17" s="18">
        <v>4</v>
      </c>
      <c r="E17">
        <v>1.4</v>
      </c>
      <c r="F17">
        <f t="shared" si="0"/>
        <v>285</v>
      </c>
      <c r="G17">
        <f t="shared" si="1"/>
        <v>1400</v>
      </c>
      <c r="H17">
        <v>1.4</v>
      </c>
      <c r="I17" s="18">
        <f t="shared" si="3"/>
        <v>559</v>
      </c>
      <c r="J17" s="18">
        <f t="shared" si="4"/>
        <v>1000</v>
      </c>
      <c r="K17" s="22">
        <v>0.8</v>
      </c>
      <c r="L17" s="34">
        <f t="shared" si="5"/>
        <v>2.24</v>
      </c>
      <c r="M17" s="36">
        <f t="shared" si="6"/>
        <v>1.12</v>
      </c>
      <c r="N17" s="20">
        <v>50</v>
      </c>
      <c r="O17">
        <f t="shared" si="2"/>
        <v>57000</v>
      </c>
      <c r="P17" s="24">
        <v>15</v>
      </c>
      <c r="Q17" s="28" t="str">
        <f t="shared" si="7"/>
        <v>Custom waterjetted from a sheet of titanium, this little blade is not to be underestimated on an antweight.  It has {HP} HP, {DP} DP, {fracture} fracture, and {normal} normal.</v>
      </c>
      <c r="R17" s="28" t="s">
        <v>489</v>
      </c>
    </row>
    <row r="18" spans="1:18" ht="12.75">
      <c r="A18" t="s">
        <v>637</v>
      </c>
      <c r="B18" s="22" t="s">
        <v>404</v>
      </c>
      <c r="C18" s="27">
        <v>36</v>
      </c>
      <c r="D18" s="18">
        <v>4</v>
      </c>
      <c r="E18">
        <v>1.4</v>
      </c>
      <c r="F18">
        <f t="shared" si="0"/>
        <v>430</v>
      </c>
      <c r="G18">
        <f t="shared" si="1"/>
        <v>7200</v>
      </c>
      <c r="H18">
        <v>1</v>
      </c>
      <c r="I18" s="18">
        <f t="shared" si="3"/>
        <v>602</v>
      </c>
      <c r="J18" s="18">
        <f t="shared" si="4"/>
        <v>7200</v>
      </c>
      <c r="K18" s="22">
        <v>0.5</v>
      </c>
      <c r="L18" s="34">
        <f t="shared" si="5"/>
        <v>1.51</v>
      </c>
      <c r="M18" s="36">
        <f t="shared" si="6"/>
        <v>3.01</v>
      </c>
      <c r="N18" s="20">
        <v>300</v>
      </c>
      <c r="O18">
        <f t="shared" si="2"/>
        <v>86000</v>
      </c>
      <c r="Q18" s="28" t="str">
        <f t="shared" si="7"/>
        <v>Team Nightmare's signature disc design will make a wicked looking addition to your bot.  This bad boy has {HP} HP, {DP} DP, {fracture} fracture, and {normal} normal.</v>
      </c>
      <c r="R18" t="s">
        <v>492</v>
      </c>
    </row>
    <row r="19" spans="1:18" ht="12.75">
      <c r="A19" t="s">
        <v>550</v>
      </c>
      <c r="B19" s="22" t="s">
        <v>37</v>
      </c>
      <c r="C19" s="27">
        <v>32</v>
      </c>
      <c r="D19" s="18">
        <v>2</v>
      </c>
      <c r="E19">
        <v>2</v>
      </c>
      <c r="F19">
        <f t="shared" si="0"/>
        <v>410</v>
      </c>
      <c r="G19">
        <f t="shared" si="1"/>
        <v>6400</v>
      </c>
      <c r="H19">
        <v>0.9</v>
      </c>
      <c r="I19" s="18">
        <f t="shared" si="3"/>
        <v>738</v>
      </c>
      <c r="J19" s="18">
        <f t="shared" si="4"/>
        <v>7111</v>
      </c>
      <c r="K19" s="22">
        <v>0.5</v>
      </c>
      <c r="L19" s="34">
        <f t="shared" si="5"/>
        <v>1.85</v>
      </c>
      <c r="M19" s="36">
        <f t="shared" si="6"/>
        <v>3.69</v>
      </c>
      <c r="N19" s="20">
        <v>50</v>
      </c>
      <c r="O19">
        <f t="shared" si="2"/>
        <v>82000</v>
      </c>
      <c r="Q19" s="28" t="str">
        <f t="shared" si="7"/>
        <v>Light double sided war axe for marginally less terror.  It has {HP} HP, {DP} DP, {fracture} fracture, and {normal} normal.</v>
      </c>
      <c r="R19" s="28" t="s">
        <v>493</v>
      </c>
    </row>
    <row r="20" spans="1:18" ht="12.75">
      <c r="A20" t="s">
        <v>551</v>
      </c>
      <c r="B20" s="22" t="s">
        <v>76</v>
      </c>
      <c r="C20" s="27">
        <v>7.5</v>
      </c>
      <c r="D20" s="32" t="s">
        <v>466</v>
      </c>
      <c r="E20">
        <v>1</v>
      </c>
      <c r="F20">
        <f t="shared" si="0"/>
        <v>287.5</v>
      </c>
      <c r="G20">
        <f t="shared" si="1"/>
        <v>1500</v>
      </c>
      <c r="H20">
        <v>0.8</v>
      </c>
      <c r="I20" s="18">
        <f t="shared" si="3"/>
        <v>230</v>
      </c>
      <c r="J20" s="18">
        <f t="shared" si="4"/>
        <v>1875</v>
      </c>
      <c r="K20" s="22">
        <v>0</v>
      </c>
      <c r="L20" s="34">
        <f t="shared" si="5"/>
        <v>0</v>
      </c>
      <c r="M20" s="36">
        <f t="shared" si="6"/>
        <v>2.3</v>
      </c>
      <c r="N20" s="20">
        <v>50</v>
      </c>
      <c r="O20">
        <f t="shared" si="2"/>
        <v>57500</v>
      </c>
      <c r="Q20" s="28" t="str">
        <f t="shared" si="7"/>
        <v>A small steel bar to add a little bite to your drum weapon.  They can also be stacked end-to-end to make an eggbeater weapon.  This medium one has {HP} HP, {DP} DP, {fracture} fracture, and {normal} normal.</v>
      </c>
      <c r="R20" t="s">
        <v>494</v>
      </c>
    </row>
    <row r="21" spans="1:18" ht="12.75">
      <c r="A21" t="s">
        <v>552</v>
      </c>
      <c r="B21" s="22" t="s">
        <v>77</v>
      </c>
      <c r="C21" s="27">
        <v>10</v>
      </c>
      <c r="D21" s="32" t="s">
        <v>466</v>
      </c>
      <c r="E21">
        <v>1</v>
      </c>
      <c r="F21">
        <f t="shared" si="0"/>
        <v>300</v>
      </c>
      <c r="G21">
        <f t="shared" si="1"/>
        <v>2000</v>
      </c>
      <c r="H21">
        <v>0.8</v>
      </c>
      <c r="I21" s="18">
        <f t="shared" si="3"/>
        <v>240</v>
      </c>
      <c r="J21" s="18">
        <f t="shared" si="4"/>
        <v>2500</v>
      </c>
      <c r="K21" s="22">
        <v>0</v>
      </c>
      <c r="L21" s="34">
        <f t="shared" si="5"/>
        <v>0</v>
      </c>
      <c r="M21" s="36">
        <f t="shared" si="6"/>
        <v>2.4</v>
      </c>
      <c r="N21" s="20">
        <v>50</v>
      </c>
      <c r="O21">
        <f t="shared" si="2"/>
        <v>60000</v>
      </c>
      <c r="Q21" s="28" t="str">
        <f t="shared" si="7"/>
        <v>A small steel bar to add a little bite to your drum weapon.  They can also be stacked end-to-end to make an eggbeater weapon.  This large one has {HP} HP, {DP} DP, {fracture} fracture, and {normal} normal.</v>
      </c>
      <c r="R21" t="s">
        <v>495</v>
      </c>
    </row>
    <row r="22" spans="1:18" ht="12.75">
      <c r="A22" t="s">
        <v>553</v>
      </c>
      <c r="B22" s="22" t="s">
        <v>427</v>
      </c>
      <c r="C22" s="27">
        <v>16</v>
      </c>
      <c r="D22" s="18">
        <v>1</v>
      </c>
      <c r="E22">
        <v>2</v>
      </c>
      <c r="F22">
        <f t="shared" si="0"/>
        <v>330</v>
      </c>
      <c r="G22">
        <f t="shared" si="1"/>
        <v>3200</v>
      </c>
      <c r="H22">
        <v>1</v>
      </c>
      <c r="I22" s="18">
        <f t="shared" si="3"/>
        <v>660</v>
      </c>
      <c r="J22" s="18">
        <f t="shared" si="4"/>
        <v>3200</v>
      </c>
      <c r="K22" s="22">
        <v>0.3</v>
      </c>
      <c r="L22" s="34">
        <f t="shared" si="5"/>
        <v>0.99</v>
      </c>
      <c r="M22" s="36">
        <f t="shared" si="6"/>
        <v>4.62</v>
      </c>
      <c r="N22" s="20">
        <v>200</v>
      </c>
      <c r="O22">
        <f t="shared" si="2"/>
        <v>66000</v>
      </c>
      <c r="Q22" s="28" t="str">
        <f t="shared" si="7"/>
        <v>A small, lightweight hammer from Behemoth with {HP} HP, {DP} DP, {fracture} fracture, and {normal} normal.</v>
      </c>
      <c r="R22" t="s">
        <v>496</v>
      </c>
    </row>
    <row r="23" spans="1:18" ht="12.75">
      <c r="A23" t="s">
        <v>554</v>
      </c>
      <c r="B23" s="22" t="s">
        <v>411</v>
      </c>
      <c r="C23" s="27">
        <v>20</v>
      </c>
      <c r="D23" s="18">
        <v>4</v>
      </c>
      <c r="E23">
        <v>1.4</v>
      </c>
      <c r="F23">
        <f t="shared" si="0"/>
        <v>350</v>
      </c>
      <c r="G23">
        <f t="shared" si="1"/>
        <v>4000</v>
      </c>
      <c r="H23">
        <v>1.1</v>
      </c>
      <c r="I23" s="18">
        <f t="shared" si="3"/>
        <v>539</v>
      </c>
      <c r="J23" s="18">
        <f t="shared" si="4"/>
        <v>3636</v>
      </c>
      <c r="K23" s="22">
        <v>0.5</v>
      </c>
      <c r="L23" s="34">
        <f t="shared" si="5"/>
        <v>1.35</v>
      </c>
      <c r="M23" s="36">
        <f t="shared" si="6"/>
        <v>2.7</v>
      </c>
      <c r="N23" s="20">
        <v>50</v>
      </c>
      <c r="O23">
        <f t="shared" si="2"/>
        <v>70000</v>
      </c>
      <c r="Q23" s="28" t="str">
        <f t="shared" si="7"/>
        <v>Billy Bot's dual saw blades are lightweight and powerful with {HP} HP, {DP} DP, {fracture} fracture, and {normal} normal.</v>
      </c>
      <c r="R23" t="s">
        <v>497</v>
      </c>
    </row>
    <row r="24" spans="1:18" ht="12.75">
      <c r="A24" t="s">
        <v>555</v>
      </c>
      <c r="B24" s="22" t="s">
        <v>92</v>
      </c>
      <c r="C24" s="27">
        <v>26</v>
      </c>
      <c r="D24" s="32" t="s">
        <v>466</v>
      </c>
      <c r="E24">
        <v>1</v>
      </c>
      <c r="F24">
        <f t="shared" si="0"/>
        <v>380</v>
      </c>
      <c r="G24">
        <f t="shared" si="1"/>
        <v>5200</v>
      </c>
      <c r="H24">
        <v>0.8</v>
      </c>
      <c r="I24" s="18">
        <f t="shared" si="3"/>
        <v>304</v>
      </c>
      <c r="J24" s="18">
        <f t="shared" si="4"/>
        <v>6500</v>
      </c>
      <c r="K24" s="22">
        <v>0.2</v>
      </c>
      <c r="L24" s="34">
        <f t="shared" si="5"/>
        <v>0.3</v>
      </c>
      <c r="M24" s="36">
        <f t="shared" si="6"/>
        <v>2.43</v>
      </c>
      <c r="N24" s="20">
        <v>50</v>
      </c>
      <c r="O24">
        <f t="shared" si="2"/>
        <v>76000</v>
      </c>
      <c r="Q24" s="28" t="str">
        <f t="shared" si="7"/>
        <v>Heavy rectangular hammer with a small tooth for a bit of piercing damage. {HP} HP, {DP} DP, {fracture} fracture, and {normal} normal.</v>
      </c>
      <c r="R24" s="28" t="s">
        <v>498</v>
      </c>
    </row>
    <row r="25" spans="1:18" ht="12.75">
      <c r="A25" t="s">
        <v>556</v>
      </c>
      <c r="B25" s="22" t="s">
        <v>405</v>
      </c>
      <c r="C25" s="27">
        <v>35</v>
      </c>
      <c r="D25" s="18">
        <v>4</v>
      </c>
      <c r="E25">
        <v>1.4</v>
      </c>
      <c r="F25">
        <f t="shared" si="0"/>
        <v>425</v>
      </c>
      <c r="G25">
        <f t="shared" si="1"/>
        <v>7000</v>
      </c>
      <c r="H25">
        <v>1</v>
      </c>
      <c r="I25" s="18">
        <f t="shared" si="3"/>
        <v>595</v>
      </c>
      <c r="J25" s="18">
        <f t="shared" si="4"/>
        <v>7000</v>
      </c>
      <c r="K25" s="22">
        <v>0.5</v>
      </c>
      <c r="L25" s="34">
        <f t="shared" si="5"/>
        <v>1.49</v>
      </c>
      <c r="M25" s="36">
        <f t="shared" si="6"/>
        <v>2.98</v>
      </c>
      <c r="N25" s="20">
        <v>300</v>
      </c>
      <c r="O25">
        <f t="shared" si="2"/>
        <v>85000</v>
      </c>
      <c r="Q25" s="28" t="str">
        <f t="shared" si="7"/>
        <v>Cleprechaun's blade has a large diameter, yet is relatively lightweight.  It has {HP} HP, {DP} DP, {fracture} fracture, and {normal} normal.</v>
      </c>
      <c r="R25" t="s">
        <v>499</v>
      </c>
    </row>
    <row r="26" spans="1:18" ht="12.75">
      <c r="A26" t="s">
        <v>557</v>
      </c>
      <c r="B26" s="22" t="s">
        <v>417</v>
      </c>
      <c r="C26" s="27">
        <v>27</v>
      </c>
      <c r="D26" s="18">
        <v>3</v>
      </c>
      <c r="E26">
        <v>1.4</v>
      </c>
      <c r="F26">
        <f t="shared" si="0"/>
        <v>385</v>
      </c>
      <c r="G26">
        <f t="shared" si="1"/>
        <v>5400</v>
      </c>
      <c r="H26">
        <v>0.9</v>
      </c>
      <c r="I26" s="18">
        <f t="shared" si="3"/>
        <v>485</v>
      </c>
      <c r="J26" s="18">
        <f t="shared" si="4"/>
        <v>6000</v>
      </c>
      <c r="K26" s="22">
        <v>0.3</v>
      </c>
      <c r="L26" s="34">
        <f t="shared" si="5"/>
        <v>0.73</v>
      </c>
      <c r="M26" s="36">
        <f t="shared" si="6"/>
        <v>3.4</v>
      </c>
      <c r="N26" s="20">
        <v>300</v>
      </c>
      <c r="O26">
        <f t="shared" si="2"/>
        <v>77000</v>
      </c>
      <c r="Q26" s="28" t="str">
        <f t="shared" si="7"/>
        <v>This is the tail from the robot Cleprechaun.  It has {HP} HP, {DP} DP, {fracture} fracture, and {normal} normal.</v>
      </c>
      <c r="R26" t="s">
        <v>500</v>
      </c>
    </row>
    <row r="27" spans="1:18" ht="12.75">
      <c r="A27" t="s">
        <v>558</v>
      </c>
      <c r="B27" s="22" t="s">
        <v>421</v>
      </c>
      <c r="C27" s="27">
        <v>20</v>
      </c>
      <c r="D27" s="18">
        <v>3</v>
      </c>
      <c r="E27">
        <v>1.4</v>
      </c>
      <c r="F27">
        <f t="shared" si="0"/>
        <v>350</v>
      </c>
      <c r="G27">
        <f t="shared" si="1"/>
        <v>4000</v>
      </c>
      <c r="H27">
        <v>1</v>
      </c>
      <c r="I27" s="18">
        <f t="shared" si="3"/>
        <v>490</v>
      </c>
      <c r="J27" s="18">
        <f t="shared" si="4"/>
        <v>4000</v>
      </c>
      <c r="K27" s="22">
        <v>1</v>
      </c>
      <c r="L27" s="34">
        <f t="shared" si="5"/>
        <v>2.45</v>
      </c>
      <c r="M27" s="36">
        <f t="shared" si="6"/>
        <v>0</v>
      </c>
      <c r="N27" s="20">
        <v>300</v>
      </c>
      <c r="O27">
        <f t="shared" si="2"/>
        <v>70000</v>
      </c>
      <c r="Q27" s="28" t="str">
        <f t="shared" si="7"/>
        <v>Sinister three-pronged spike array from El Diablo with {HP} HP, {DP} DP, {fracture} fracture, and {normal} normal.</v>
      </c>
      <c r="R27" t="s">
        <v>501</v>
      </c>
    </row>
    <row r="28" spans="1:18" ht="12.75">
      <c r="A28" t="s">
        <v>559</v>
      </c>
      <c r="B28" s="22" t="s">
        <v>406</v>
      </c>
      <c r="C28" s="27">
        <v>38</v>
      </c>
      <c r="D28" s="18">
        <v>4</v>
      </c>
      <c r="E28">
        <v>1.4</v>
      </c>
      <c r="F28">
        <f t="shared" si="0"/>
        <v>440</v>
      </c>
      <c r="G28">
        <f t="shared" si="1"/>
        <v>7600</v>
      </c>
      <c r="H28">
        <v>1</v>
      </c>
      <c r="I28" s="18">
        <f t="shared" si="3"/>
        <v>616</v>
      </c>
      <c r="J28" s="18">
        <f t="shared" si="4"/>
        <v>7600</v>
      </c>
      <c r="K28" s="22">
        <v>0.5</v>
      </c>
      <c r="L28" s="34">
        <f t="shared" si="5"/>
        <v>1.54</v>
      </c>
      <c r="M28" s="36">
        <f t="shared" si="6"/>
        <v>3.08</v>
      </c>
      <c r="N28" s="20">
        <v>300</v>
      </c>
      <c r="O28">
        <f t="shared" si="2"/>
        <v>88000</v>
      </c>
      <c r="Q28" s="28" t="str">
        <f t="shared" si="7"/>
        <v>Dreadnought's dual disc set for wide weapon setups. {HP} HP, {DP} DP, {fracture} fracture, and {normal} normal.</v>
      </c>
      <c r="R28" t="s">
        <v>502</v>
      </c>
    </row>
    <row r="29" spans="1:18" ht="12.75">
      <c r="A29" t="s">
        <v>560</v>
      </c>
      <c r="B29" s="22" t="s">
        <v>39</v>
      </c>
      <c r="C29" s="27">
        <v>13</v>
      </c>
      <c r="D29" s="18">
        <v>1</v>
      </c>
      <c r="E29">
        <v>2</v>
      </c>
      <c r="F29">
        <f t="shared" si="0"/>
        <v>315</v>
      </c>
      <c r="G29">
        <f t="shared" si="1"/>
        <v>2600</v>
      </c>
      <c r="H29">
        <v>0.9</v>
      </c>
      <c r="I29" s="18">
        <f t="shared" si="3"/>
        <v>567</v>
      </c>
      <c r="J29" s="18">
        <f t="shared" si="4"/>
        <v>2889</v>
      </c>
      <c r="K29" s="22">
        <v>0.5</v>
      </c>
      <c r="L29" s="34">
        <f t="shared" si="5"/>
        <v>1.42</v>
      </c>
      <c r="M29" s="36">
        <f t="shared" si="6"/>
        <v>2.84</v>
      </c>
      <c r="N29" s="20">
        <v>50</v>
      </c>
      <c r="O29">
        <f t="shared" si="2"/>
        <v>63000</v>
      </c>
      <c r="Q29" s="28" t="str">
        <f t="shared" si="7"/>
        <v>The sharp edge on this axe can easily cut through metal if swung with enough force. {HP} HP, {DP} DP, {fracture} fracture, and {normal} normal.</v>
      </c>
      <c r="R29" t="s">
        <v>503</v>
      </c>
    </row>
    <row r="30" spans="1:18" ht="12.75">
      <c r="A30" t="s">
        <v>561</v>
      </c>
      <c r="B30" s="22" t="s">
        <v>66</v>
      </c>
      <c r="C30" s="27">
        <v>50</v>
      </c>
      <c r="D30" s="18">
        <v>2</v>
      </c>
      <c r="E30">
        <v>1.4</v>
      </c>
      <c r="F30">
        <f t="shared" si="0"/>
        <v>500</v>
      </c>
      <c r="G30">
        <f t="shared" si="1"/>
        <v>10000</v>
      </c>
      <c r="H30">
        <v>0.8</v>
      </c>
      <c r="I30" s="18">
        <f t="shared" si="3"/>
        <v>560</v>
      </c>
      <c r="J30" s="18">
        <f t="shared" si="4"/>
        <v>12500</v>
      </c>
      <c r="K30" s="22">
        <v>0.5</v>
      </c>
      <c r="L30" s="34">
        <f t="shared" si="5"/>
        <v>1.4</v>
      </c>
      <c r="M30" s="36">
        <f t="shared" si="6"/>
        <v>2.8</v>
      </c>
      <c r="N30" s="20">
        <v>300</v>
      </c>
      <c r="O30">
        <f t="shared" si="2"/>
        <v>100000</v>
      </c>
      <c r="Q30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0" s="28" t="s">
        <v>476</v>
      </c>
    </row>
    <row r="31" spans="1:18" ht="12.75">
      <c r="A31" t="s">
        <v>562</v>
      </c>
      <c r="B31" s="22" t="s">
        <v>67</v>
      </c>
      <c r="C31" s="27">
        <v>13.3</v>
      </c>
      <c r="D31" s="18">
        <v>2</v>
      </c>
      <c r="E31">
        <v>1.4</v>
      </c>
      <c r="F31">
        <f t="shared" si="0"/>
        <v>316.5</v>
      </c>
      <c r="G31">
        <f t="shared" si="1"/>
        <v>2660</v>
      </c>
      <c r="H31">
        <v>0.8</v>
      </c>
      <c r="I31" s="18">
        <f t="shared" si="3"/>
        <v>354</v>
      </c>
      <c r="J31" s="18">
        <f t="shared" si="4"/>
        <v>3325</v>
      </c>
      <c r="K31" s="22">
        <v>0.5</v>
      </c>
      <c r="L31" s="34">
        <f t="shared" si="5"/>
        <v>0.89</v>
      </c>
      <c r="M31" s="36">
        <f t="shared" si="6"/>
        <v>1.77</v>
      </c>
      <c r="N31" s="20">
        <v>300</v>
      </c>
      <c r="O31">
        <f t="shared" si="2"/>
        <v>63300</v>
      </c>
      <c r="Q31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1" s="28" t="s">
        <v>476</v>
      </c>
    </row>
    <row r="32" spans="1:18" ht="12.75">
      <c r="A32" t="s">
        <v>563</v>
      </c>
      <c r="B32" s="22" t="s">
        <v>68</v>
      </c>
      <c r="C32" s="27">
        <v>26.6</v>
      </c>
      <c r="D32" s="18">
        <v>2</v>
      </c>
      <c r="E32">
        <v>1.4</v>
      </c>
      <c r="F32">
        <f t="shared" si="0"/>
        <v>383</v>
      </c>
      <c r="G32">
        <f t="shared" si="1"/>
        <v>5320</v>
      </c>
      <c r="H32">
        <v>0.8</v>
      </c>
      <c r="I32" s="18">
        <f t="shared" si="3"/>
        <v>429</v>
      </c>
      <c r="J32" s="18">
        <f t="shared" si="4"/>
        <v>6650</v>
      </c>
      <c r="K32" s="22">
        <v>0.5</v>
      </c>
      <c r="L32" s="34">
        <f t="shared" si="5"/>
        <v>1.07</v>
      </c>
      <c r="M32" s="36">
        <f t="shared" si="6"/>
        <v>2.15</v>
      </c>
      <c r="N32" s="20">
        <v>300</v>
      </c>
      <c r="O32">
        <f t="shared" si="2"/>
        <v>76600</v>
      </c>
      <c r="Q32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2" s="28" t="s">
        <v>476</v>
      </c>
    </row>
    <row r="33" spans="1:18" ht="12.75">
      <c r="A33" t="s">
        <v>564</v>
      </c>
      <c r="B33" s="22" t="s">
        <v>69</v>
      </c>
      <c r="C33" s="27">
        <v>39.9</v>
      </c>
      <c r="D33" s="18">
        <v>2</v>
      </c>
      <c r="E33">
        <v>1.4</v>
      </c>
      <c r="F33">
        <f t="shared" si="0"/>
        <v>449.5</v>
      </c>
      <c r="G33">
        <f t="shared" si="1"/>
        <v>7980</v>
      </c>
      <c r="H33">
        <v>0.8</v>
      </c>
      <c r="I33" s="18">
        <f t="shared" si="3"/>
        <v>503</v>
      </c>
      <c r="J33" s="18">
        <f t="shared" si="4"/>
        <v>9975</v>
      </c>
      <c r="K33" s="22">
        <v>0.5</v>
      </c>
      <c r="L33" s="34">
        <f t="shared" si="5"/>
        <v>1.26</v>
      </c>
      <c r="M33" s="36">
        <f t="shared" si="6"/>
        <v>2.52</v>
      </c>
      <c r="N33" s="20">
        <v>300</v>
      </c>
      <c r="O33">
        <f t="shared" si="2"/>
        <v>89900</v>
      </c>
      <c r="Q33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3" s="28" t="s">
        <v>476</v>
      </c>
    </row>
    <row r="34" spans="1:18" ht="12.75">
      <c r="A34" t="s">
        <v>565</v>
      </c>
      <c r="B34" s="22" t="s">
        <v>70</v>
      </c>
      <c r="C34" s="27">
        <v>53.2</v>
      </c>
      <c r="D34" s="18">
        <v>2</v>
      </c>
      <c r="E34">
        <v>1.4</v>
      </c>
      <c r="F34">
        <f aca="true" t="shared" si="8" ref="F34:F65">(O34*C34)/G34</f>
        <v>516</v>
      </c>
      <c r="G34">
        <f aca="true" t="shared" si="9" ref="G34:G65">C34*200</f>
        <v>10640</v>
      </c>
      <c r="H34">
        <v>0.8</v>
      </c>
      <c r="I34" s="18">
        <f t="shared" si="3"/>
        <v>578</v>
      </c>
      <c r="J34" s="18">
        <f t="shared" si="4"/>
        <v>13300</v>
      </c>
      <c r="K34" s="22">
        <v>0.5</v>
      </c>
      <c r="L34" s="34">
        <f t="shared" si="5"/>
        <v>1.45</v>
      </c>
      <c r="M34" s="36">
        <f t="shared" si="6"/>
        <v>2.89</v>
      </c>
      <c r="N34" s="20">
        <v>300</v>
      </c>
      <c r="O34">
        <f aca="true" t="shared" si="10" ref="O34:O65">50000+(C34*1000)</f>
        <v>103200</v>
      </c>
      <c r="Q34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4" s="28" t="s">
        <v>476</v>
      </c>
    </row>
    <row r="35" spans="1:18" ht="12.75">
      <c r="A35" t="s">
        <v>566</v>
      </c>
      <c r="B35" s="22" t="s">
        <v>71</v>
      </c>
      <c r="C35" s="27">
        <v>66.5</v>
      </c>
      <c r="D35" s="18">
        <v>2</v>
      </c>
      <c r="E35">
        <v>1.4</v>
      </c>
      <c r="F35">
        <f t="shared" si="8"/>
        <v>582.5</v>
      </c>
      <c r="G35">
        <f t="shared" si="9"/>
        <v>13300</v>
      </c>
      <c r="H35">
        <v>0.8</v>
      </c>
      <c r="I35" s="18">
        <f t="shared" si="3"/>
        <v>652</v>
      </c>
      <c r="J35" s="18">
        <f t="shared" si="4"/>
        <v>16625</v>
      </c>
      <c r="K35" s="22">
        <v>0.5</v>
      </c>
      <c r="L35" s="34">
        <f t="shared" si="5"/>
        <v>1.63</v>
      </c>
      <c r="M35" s="36">
        <f t="shared" si="6"/>
        <v>3.26</v>
      </c>
      <c r="N35" s="20">
        <v>300</v>
      </c>
      <c r="O35">
        <f t="shared" si="10"/>
        <v>116500</v>
      </c>
      <c r="Q35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5" s="28" t="s">
        <v>476</v>
      </c>
    </row>
    <row r="36" spans="1:18" ht="12.75">
      <c r="A36" t="s">
        <v>567</v>
      </c>
      <c r="B36" s="22" t="s">
        <v>72</v>
      </c>
      <c r="C36" s="27">
        <v>8.3</v>
      </c>
      <c r="D36" s="18">
        <v>2</v>
      </c>
      <c r="E36">
        <v>1.4</v>
      </c>
      <c r="F36">
        <f t="shared" si="8"/>
        <v>291.5</v>
      </c>
      <c r="G36">
        <f t="shared" si="9"/>
        <v>1660.0000000000002</v>
      </c>
      <c r="H36">
        <v>0.9</v>
      </c>
      <c r="I36" s="18">
        <f t="shared" si="3"/>
        <v>367</v>
      </c>
      <c r="J36" s="18">
        <f t="shared" si="4"/>
        <v>1844</v>
      </c>
      <c r="K36" s="22">
        <v>0.5</v>
      </c>
      <c r="L36" s="34">
        <f t="shared" si="5"/>
        <v>0.92</v>
      </c>
      <c r="M36" s="36">
        <f t="shared" si="6"/>
        <v>1.84</v>
      </c>
      <c r="N36" s="20">
        <v>300</v>
      </c>
      <c r="O36">
        <f t="shared" si="10"/>
        <v>58300</v>
      </c>
      <c r="Q36" s="28" t="str">
        <f t="shared" si="7"/>
        <v>Connects a 20cm wide bar to a 30cm wide bar.  The angled sides make it a more powerful weapon than the straight bars with {HP} HP, {DP} DP, {fracture} fracture, and {normal} normal.</v>
      </c>
      <c r="R36" s="28" t="s">
        <v>504</v>
      </c>
    </row>
    <row r="37" spans="1:18" ht="12.75">
      <c r="A37" t="s">
        <v>568</v>
      </c>
      <c r="B37" s="22" t="s">
        <v>73</v>
      </c>
      <c r="C37" s="27">
        <v>11.7</v>
      </c>
      <c r="D37" s="18">
        <v>2</v>
      </c>
      <c r="E37">
        <v>1.4</v>
      </c>
      <c r="F37">
        <f t="shared" si="8"/>
        <v>308.5</v>
      </c>
      <c r="G37">
        <f t="shared" si="9"/>
        <v>2340</v>
      </c>
      <c r="H37">
        <v>0.8</v>
      </c>
      <c r="I37" s="18">
        <f t="shared" si="3"/>
        <v>346</v>
      </c>
      <c r="J37" s="18">
        <f t="shared" si="4"/>
        <v>2925</v>
      </c>
      <c r="K37" s="22">
        <v>0.5</v>
      </c>
      <c r="L37" s="34">
        <f t="shared" si="5"/>
        <v>0.87</v>
      </c>
      <c r="M37" s="36">
        <f t="shared" si="6"/>
        <v>1.73</v>
      </c>
      <c r="N37" s="20">
        <v>300</v>
      </c>
      <c r="O37">
        <f t="shared" si="10"/>
        <v>61700</v>
      </c>
      <c r="Q37" s="28" t="str">
        <f t="shared" si="7"/>
        <v>Connects a 30cm wide bar to a 40cm wide bar.  The angled sides make it a more powerful weapon than the straight bars with {HP} HP, {DP} DP, {fracture} fracture, and {normal} normal.</v>
      </c>
      <c r="R37" s="28" t="s">
        <v>505</v>
      </c>
    </row>
    <row r="38" spans="1:18" ht="12.75">
      <c r="A38" t="s">
        <v>569</v>
      </c>
      <c r="B38" s="22" t="s">
        <v>74</v>
      </c>
      <c r="C38" s="27">
        <v>10</v>
      </c>
      <c r="D38" s="18">
        <v>2</v>
      </c>
      <c r="E38">
        <v>1.4</v>
      </c>
      <c r="F38">
        <f t="shared" si="8"/>
        <v>300</v>
      </c>
      <c r="G38">
        <f t="shared" si="9"/>
        <v>2000</v>
      </c>
      <c r="H38">
        <v>1</v>
      </c>
      <c r="I38" s="18">
        <f t="shared" si="3"/>
        <v>420</v>
      </c>
      <c r="J38" s="18">
        <f t="shared" si="4"/>
        <v>2000</v>
      </c>
      <c r="K38" s="22">
        <v>0.5</v>
      </c>
      <c r="L38" s="34">
        <f t="shared" si="5"/>
        <v>1.05</v>
      </c>
      <c r="M38" s="36">
        <f t="shared" si="6"/>
        <v>2.1</v>
      </c>
      <c r="N38" s="20">
        <v>300</v>
      </c>
      <c r="O38">
        <f t="shared" si="10"/>
        <v>60000</v>
      </c>
      <c r="Q38" s="28" t="str">
        <f t="shared" si="7"/>
        <v>Connects a 20cm wide bar to a 40cm wide bar.  Sharply angled sides also make this bar an excellent weapon head with {HP} HP, {DP} DP, {fracture} fracture, and {normal} normal.</v>
      </c>
      <c r="R38" s="28" t="s">
        <v>506</v>
      </c>
    </row>
    <row r="39" spans="1:18" ht="12.75">
      <c r="A39" t="s">
        <v>570</v>
      </c>
      <c r="B39" s="22" t="s">
        <v>58</v>
      </c>
      <c r="C39" s="27">
        <v>13.3</v>
      </c>
      <c r="D39" s="18">
        <v>2</v>
      </c>
      <c r="E39">
        <v>1.4</v>
      </c>
      <c r="F39">
        <f t="shared" si="8"/>
        <v>316.5</v>
      </c>
      <c r="G39">
        <f t="shared" si="9"/>
        <v>2660</v>
      </c>
      <c r="H39">
        <v>0.8</v>
      </c>
      <c r="I39" s="18">
        <f t="shared" si="3"/>
        <v>354</v>
      </c>
      <c r="J39" s="18">
        <f t="shared" si="4"/>
        <v>3325</v>
      </c>
      <c r="K39" s="22">
        <v>0.5</v>
      </c>
      <c r="L39" s="34">
        <f t="shared" si="5"/>
        <v>0.89</v>
      </c>
      <c r="M39" s="36">
        <f t="shared" si="6"/>
        <v>1.77</v>
      </c>
      <c r="N39" s="20">
        <v>300</v>
      </c>
      <c r="O39">
        <f t="shared" si="10"/>
        <v>63300</v>
      </c>
      <c r="Q39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39" s="28" t="s">
        <v>476</v>
      </c>
    </row>
    <row r="40" spans="1:18" ht="12.75">
      <c r="A40" t="s">
        <v>571</v>
      </c>
      <c r="B40" s="22" t="s">
        <v>59</v>
      </c>
      <c r="C40" s="27">
        <v>20</v>
      </c>
      <c r="D40" s="18">
        <v>2</v>
      </c>
      <c r="E40">
        <v>1.4</v>
      </c>
      <c r="F40">
        <f t="shared" si="8"/>
        <v>350</v>
      </c>
      <c r="G40">
        <f t="shared" si="9"/>
        <v>4000</v>
      </c>
      <c r="H40">
        <v>0.8</v>
      </c>
      <c r="I40" s="18">
        <f t="shared" si="3"/>
        <v>392</v>
      </c>
      <c r="J40" s="18">
        <f t="shared" si="4"/>
        <v>5000</v>
      </c>
      <c r="K40" s="22">
        <v>0.5</v>
      </c>
      <c r="L40" s="34">
        <f t="shared" si="5"/>
        <v>0.98</v>
      </c>
      <c r="M40" s="36">
        <f t="shared" si="6"/>
        <v>1.96</v>
      </c>
      <c r="N40" s="20">
        <v>300</v>
      </c>
      <c r="O40">
        <f t="shared" si="10"/>
        <v>70000</v>
      </c>
      <c r="Q40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0" s="28" t="s">
        <v>476</v>
      </c>
    </row>
    <row r="41" spans="1:18" ht="12.75">
      <c r="A41" t="s">
        <v>572</v>
      </c>
      <c r="B41" s="22" t="s">
        <v>60</v>
      </c>
      <c r="C41" s="27">
        <v>26.6</v>
      </c>
      <c r="D41" s="18">
        <v>2</v>
      </c>
      <c r="E41">
        <v>1.4</v>
      </c>
      <c r="F41">
        <f t="shared" si="8"/>
        <v>383</v>
      </c>
      <c r="G41">
        <f t="shared" si="9"/>
        <v>5320</v>
      </c>
      <c r="H41">
        <v>0.8</v>
      </c>
      <c r="I41" s="18">
        <f t="shared" si="3"/>
        <v>429</v>
      </c>
      <c r="J41" s="18">
        <f t="shared" si="4"/>
        <v>6650</v>
      </c>
      <c r="K41" s="22">
        <v>0.5</v>
      </c>
      <c r="L41" s="34">
        <f t="shared" si="5"/>
        <v>1.07</v>
      </c>
      <c r="M41" s="36">
        <f t="shared" si="6"/>
        <v>2.15</v>
      </c>
      <c r="N41" s="20">
        <v>300</v>
      </c>
      <c r="O41">
        <f t="shared" si="10"/>
        <v>76600</v>
      </c>
      <c r="Q41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1" s="28" t="s">
        <v>476</v>
      </c>
    </row>
    <row r="42" spans="1:18" ht="12.75">
      <c r="A42" t="s">
        <v>573</v>
      </c>
      <c r="B42" s="22" t="s">
        <v>61</v>
      </c>
      <c r="C42" s="27">
        <v>33.3</v>
      </c>
      <c r="D42" s="18">
        <v>2</v>
      </c>
      <c r="E42">
        <v>1.4</v>
      </c>
      <c r="F42">
        <f t="shared" si="8"/>
        <v>416.5</v>
      </c>
      <c r="G42">
        <f t="shared" si="9"/>
        <v>6659.999999999999</v>
      </c>
      <c r="H42">
        <v>0.8</v>
      </c>
      <c r="I42" s="18">
        <f t="shared" si="3"/>
        <v>466</v>
      </c>
      <c r="J42" s="18">
        <f t="shared" si="4"/>
        <v>8325</v>
      </c>
      <c r="K42" s="22">
        <v>0.5</v>
      </c>
      <c r="L42" s="34">
        <f t="shared" si="5"/>
        <v>1.17</v>
      </c>
      <c r="M42" s="36">
        <f t="shared" si="6"/>
        <v>2.33</v>
      </c>
      <c r="N42" s="20">
        <v>300</v>
      </c>
      <c r="O42">
        <f t="shared" si="10"/>
        <v>83300</v>
      </c>
      <c r="Q42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2" s="28" t="s">
        <v>476</v>
      </c>
    </row>
    <row r="43" spans="1:18" ht="12.75">
      <c r="A43" t="s">
        <v>574</v>
      </c>
      <c r="B43" s="22" t="s">
        <v>62</v>
      </c>
      <c r="C43" s="27">
        <v>10</v>
      </c>
      <c r="D43" s="18">
        <v>2</v>
      </c>
      <c r="E43">
        <v>1.4</v>
      </c>
      <c r="F43">
        <f t="shared" si="8"/>
        <v>300</v>
      </c>
      <c r="G43">
        <f t="shared" si="9"/>
        <v>2000</v>
      </c>
      <c r="H43">
        <v>0.8</v>
      </c>
      <c r="I43" s="18">
        <f t="shared" si="3"/>
        <v>336</v>
      </c>
      <c r="J43" s="18">
        <f t="shared" si="4"/>
        <v>2500</v>
      </c>
      <c r="K43" s="22">
        <v>0.5</v>
      </c>
      <c r="L43" s="34">
        <f t="shared" si="5"/>
        <v>0.84</v>
      </c>
      <c r="M43" s="36">
        <f t="shared" si="6"/>
        <v>1.68</v>
      </c>
      <c r="N43" s="20">
        <v>300</v>
      </c>
      <c r="O43">
        <f t="shared" si="10"/>
        <v>60000</v>
      </c>
      <c r="Q43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3" s="28" t="s">
        <v>476</v>
      </c>
    </row>
    <row r="44" spans="1:18" ht="12.75">
      <c r="A44" t="s">
        <v>575</v>
      </c>
      <c r="B44" s="22" t="s">
        <v>63</v>
      </c>
      <c r="C44" s="27">
        <v>20</v>
      </c>
      <c r="D44" s="18">
        <v>2</v>
      </c>
      <c r="E44">
        <v>1.4</v>
      </c>
      <c r="F44">
        <f t="shared" si="8"/>
        <v>350</v>
      </c>
      <c r="G44">
        <f t="shared" si="9"/>
        <v>4000</v>
      </c>
      <c r="H44">
        <v>0.8</v>
      </c>
      <c r="I44" s="18">
        <f t="shared" si="3"/>
        <v>392</v>
      </c>
      <c r="J44" s="18">
        <f t="shared" si="4"/>
        <v>5000</v>
      </c>
      <c r="K44" s="22">
        <v>0.5</v>
      </c>
      <c r="L44" s="34">
        <f t="shared" si="5"/>
        <v>0.98</v>
      </c>
      <c r="M44" s="36">
        <f t="shared" si="6"/>
        <v>1.96</v>
      </c>
      <c r="N44" s="20">
        <v>300</v>
      </c>
      <c r="O44">
        <f t="shared" si="10"/>
        <v>70000</v>
      </c>
      <c r="Q44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4" s="28" t="s">
        <v>476</v>
      </c>
    </row>
    <row r="45" spans="1:18" ht="12.75">
      <c r="A45" t="s">
        <v>576</v>
      </c>
      <c r="B45" s="22" t="s">
        <v>64</v>
      </c>
      <c r="C45" s="27">
        <v>30</v>
      </c>
      <c r="D45" s="18">
        <v>2</v>
      </c>
      <c r="E45">
        <v>1.4</v>
      </c>
      <c r="F45">
        <f t="shared" si="8"/>
        <v>400</v>
      </c>
      <c r="G45">
        <f t="shared" si="9"/>
        <v>6000</v>
      </c>
      <c r="H45">
        <v>0.8</v>
      </c>
      <c r="I45" s="18">
        <f t="shared" si="3"/>
        <v>448</v>
      </c>
      <c r="J45" s="18">
        <f t="shared" si="4"/>
        <v>7500</v>
      </c>
      <c r="K45" s="22">
        <v>0.5</v>
      </c>
      <c r="L45" s="34">
        <f t="shared" si="5"/>
        <v>1.12</v>
      </c>
      <c r="M45" s="36">
        <f t="shared" si="6"/>
        <v>2.24</v>
      </c>
      <c r="N45" s="20">
        <v>300</v>
      </c>
      <c r="O45">
        <f t="shared" si="10"/>
        <v>80000</v>
      </c>
      <c r="Q45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5" s="28" t="s">
        <v>476</v>
      </c>
    </row>
    <row r="46" spans="1:18" ht="12.75">
      <c r="A46" t="s">
        <v>577</v>
      </c>
      <c r="B46" s="22" t="s">
        <v>65</v>
      </c>
      <c r="C46" s="27">
        <v>40</v>
      </c>
      <c r="D46" s="18">
        <v>2</v>
      </c>
      <c r="E46">
        <v>1.4</v>
      </c>
      <c r="F46">
        <f t="shared" si="8"/>
        <v>450</v>
      </c>
      <c r="G46">
        <f t="shared" si="9"/>
        <v>8000</v>
      </c>
      <c r="H46">
        <v>0.8</v>
      </c>
      <c r="I46" s="18">
        <f t="shared" si="3"/>
        <v>504</v>
      </c>
      <c r="J46" s="18">
        <f t="shared" si="4"/>
        <v>10000</v>
      </c>
      <c r="K46" s="22">
        <v>0.5</v>
      </c>
      <c r="L46" s="34">
        <f t="shared" si="5"/>
        <v>1.26</v>
      </c>
      <c r="M46" s="36">
        <f t="shared" si="6"/>
        <v>2.52</v>
      </c>
      <c r="N46" s="20">
        <v>300</v>
      </c>
      <c r="O46">
        <f t="shared" si="10"/>
        <v>90000</v>
      </c>
      <c r="Q46" s="28" t="str">
        <f t="shared" si="7"/>
        <v>A bar made of hardened tool steel, ideal as a spinning weapon.  Put other weapons on the ends to increase its effectiveness.  It has {HP} HP, {DP} DP, {fracture} fracture, and {normal} normal.</v>
      </c>
      <c r="R46" s="28" t="s">
        <v>476</v>
      </c>
    </row>
    <row r="47" spans="1:18" ht="12.75">
      <c r="A47" t="s">
        <v>578</v>
      </c>
      <c r="B47" s="22" t="s">
        <v>51</v>
      </c>
      <c r="C47" s="27">
        <v>10</v>
      </c>
      <c r="D47" s="32" t="s">
        <v>466</v>
      </c>
      <c r="E47">
        <v>1</v>
      </c>
      <c r="F47">
        <f t="shared" si="8"/>
        <v>300</v>
      </c>
      <c r="G47">
        <f t="shared" si="9"/>
        <v>2000</v>
      </c>
      <c r="H47">
        <v>1</v>
      </c>
      <c r="I47" s="18">
        <f t="shared" si="3"/>
        <v>300</v>
      </c>
      <c r="J47" s="18">
        <f t="shared" si="4"/>
        <v>2000</v>
      </c>
      <c r="K47" s="22">
        <v>0.6</v>
      </c>
      <c r="L47" s="34">
        <f t="shared" si="5"/>
        <v>0.9</v>
      </c>
      <c r="M47" s="36">
        <f t="shared" si="6"/>
        <v>1.2</v>
      </c>
      <c r="N47" s="20">
        <v>50</v>
      </c>
      <c r="O47">
        <f t="shared" si="10"/>
        <v>60000</v>
      </c>
      <c r="Q47" s="28" t="str">
        <f t="shared" si="7"/>
        <v>This heavy iron spike is primitive, but serves its purpose as a pointed weapon. {HP} HP, {DP} DP, {fracture} fracture, and {normal} normal.</v>
      </c>
      <c r="R47" t="s">
        <v>507</v>
      </c>
    </row>
    <row r="48" spans="1:18" ht="12.75">
      <c r="A48" t="s">
        <v>579</v>
      </c>
      <c r="B48" s="22" t="s">
        <v>38</v>
      </c>
      <c r="C48" s="27">
        <v>14</v>
      </c>
      <c r="D48" s="18">
        <v>2</v>
      </c>
      <c r="E48">
        <v>2</v>
      </c>
      <c r="F48">
        <f t="shared" si="8"/>
        <v>320</v>
      </c>
      <c r="G48">
        <f t="shared" si="9"/>
        <v>2800</v>
      </c>
      <c r="H48">
        <v>0.9</v>
      </c>
      <c r="I48" s="18">
        <f t="shared" si="3"/>
        <v>576</v>
      </c>
      <c r="J48" s="18">
        <f t="shared" si="4"/>
        <v>3111</v>
      </c>
      <c r="K48" s="22">
        <v>0.5</v>
      </c>
      <c r="L48" s="34">
        <f t="shared" si="5"/>
        <v>1.44</v>
      </c>
      <c r="M48" s="36">
        <f t="shared" si="6"/>
        <v>2.88</v>
      </c>
      <c r="N48" s="20">
        <v>50</v>
      </c>
      <c r="O48">
        <f t="shared" si="10"/>
        <v>64000</v>
      </c>
      <c r="Q48" s="28" t="str">
        <f t="shared" si="7"/>
        <v>Here's an axe that can really get the job done. {HP} HP, {DP} DP, {fracture} fracture, and {normal} normal.</v>
      </c>
      <c r="R48" t="s">
        <v>508</v>
      </c>
    </row>
    <row r="49" spans="1:18" ht="12.75">
      <c r="A49" t="s">
        <v>580</v>
      </c>
      <c r="B49" s="22" t="s">
        <v>45</v>
      </c>
      <c r="C49" s="27">
        <v>23</v>
      </c>
      <c r="D49" s="32" t="s">
        <v>466</v>
      </c>
      <c r="E49">
        <v>1</v>
      </c>
      <c r="F49">
        <f t="shared" si="8"/>
        <v>365</v>
      </c>
      <c r="G49">
        <f t="shared" si="9"/>
        <v>4600</v>
      </c>
      <c r="H49">
        <v>0.7</v>
      </c>
      <c r="I49" s="18">
        <f t="shared" si="3"/>
        <v>256</v>
      </c>
      <c r="J49" s="18">
        <f t="shared" si="4"/>
        <v>6571</v>
      </c>
      <c r="K49" s="22">
        <v>0</v>
      </c>
      <c r="L49" s="34">
        <f t="shared" si="5"/>
        <v>0</v>
      </c>
      <c r="M49" s="36">
        <f t="shared" si="6"/>
        <v>2.56</v>
      </c>
      <c r="N49" s="20">
        <v>300</v>
      </c>
      <c r="O49">
        <f t="shared" si="10"/>
        <v>73000</v>
      </c>
      <c r="Q49" s="28" t="str">
        <f t="shared" si="7"/>
        <v>Heavy hammer head with dual mount positions. {HP} HP, {DP} DP, {fracture} fracture, and {normal} normal.</v>
      </c>
      <c r="R49" t="s">
        <v>509</v>
      </c>
    </row>
    <row r="50" spans="1:18" ht="12.75">
      <c r="A50" t="s">
        <v>581</v>
      </c>
      <c r="B50" s="22" t="s">
        <v>49</v>
      </c>
      <c r="C50" s="27">
        <v>20</v>
      </c>
      <c r="D50" s="18">
        <v>2</v>
      </c>
      <c r="E50">
        <v>2</v>
      </c>
      <c r="F50">
        <f t="shared" si="8"/>
        <v>350</v>
      </c>
      <c r="G50">
        <f t="shared" si="9"/>
        <v>4000</v>
      </c>
      <c r="H50">
        <v>0.9</v>
      </c>
      <c r="I50" s="18">
        <f t="shared" si="3"/>
        <v>630</v>
      </c>
      <c r="J50" s="18">
        <f t="shared" si="4"/>
        <v>4444</v>
      </c>
      <c r="K50" s="22">
        <v>0.9</v>
      </c>
      <c r="L50" s="34">
        <f t="shared" si="5"/>
        <v>2.84</v>
      </c>
      <c r="M50" s="36">
        <f t="shared" si="6"/>
        <v>0.63</v>
      </c>
      <c r="N50" s="20">
        <v>50</v>
      </c>
      <c r="O50">
        <f t="shared" si="10"/>
        <v>70000</v>
      </c>
      <c r="Q50" s="28" t="str">
        <f t="shared" si="7"/>
        <v>Everyone loves a good icepick. Especially when it smashes the control board of your opponent! {HP} HP, {DP} DP, {fracture} fracture, and {normal} normal.</v>
      </c>
      <c r="R50" t="s">
        <v>510</v>
      </c>
    </row>
    <row r="51" spans="1:18" ht="12.75">
      <c r="A51" t="s">
        <v>582</v>
      </c>
      <c r="B51" s="22" t="s">
        <v>48</v>
      </c>
      <c r="C51" s="27">
        <v>14</v>
      </c>
      <c r="D51" s="32" t="s">
        <v>466</v>
      </c>
      <c r="E51">
        <v>1</v>
      </c>
      <c r="F51">
        <f t="shared" si="8"/>
        <v>320</v>
      </c>
      <c r="G51">
        <f t="shared" si="9"/>
        <v>2800</v>
      </c>
      <c r="H51">
        <v>0.7</v>
      </c>
      <c r="I51" s="18">
        <f t="shared" si="3"/>
        <v>224</v>
      </c>
      <c r="J51" s="18">
        <f t="shared" si="4"/>
        <v>4000</v>
      </c>
      <c r="K51" s="22">
        <v>0.2</v>
      </c>
      <c r="L51" s="34">
        <f t="shared" si="5"/>
        <v>0.22</v>
      </c>
      <c r="M51" s="36">
        <f t="shared" si="6"/>
        <v>1.79</v>
      </c>
      <c r="N51" s="20">
        <v>50</v>
      </c>
      <c r="O51">
        <f t="shared" si="10"/>
        <v>64000</v>
      </c>
      <c r="Q51" s="28" t="str">
        <f t="shared" si="7"/>
        <v>Heavy iron ball with spikes. Ouch. {HP} HP, {DP} DP, {fracture} fracture, and {normal} normal.</v>
      </c>
      <c r="R51" t="s">
        <v>511</v>
      </c>
    </row>
    <row r="52" spans="1:18" ht="12.75">
      <c r="A52" t="s">
        <v>583</v>
      </c>
      <c r="B52" s="22" t="s">
        <v>79</v>
      </c>
      <c r="C52" s="27">
        <v>40</v>
      </c>
      <c r="D52" s="18">
        <v>2</v>
      </c>
      <c r="E52">
        <v>1.4</v>
      </c>
      <c r="F52">
        <f t="shared" si="8"/>
        <v>450</v>
      </c>
      <c r="G52">
        <f t="shared" si="9"/>
        <v>8000</v>
      </c>
      <c r="H52">
        <v>0.9</v>
      </c>
      <c r="I52" s="18">
        <f t="shared" si="3"/>
        <v>567</v>
      </c>
      <c r="J52" s="18">
        <f t="shared" si="4"/>
        <v>8889</v>
      </c>
      <c r="K52" s="22">
        <v>0.5</v>
      </c>
      <c r="L52" s="34">
        <f t="shared" si="5"/>
        <v>1.42</v>
      </c>
      <c r="M52" s="36">
        <f t="shared" si="6"/>
        <v>2.84</v>
      </c>
      <c r="N52" s="20">
        <v>200</v>
      </c>
      <c r="O52">
        <f t="shared" si="10"/>
        <v>90000</v>
      </c>
      <c r="Q52" s="28" t="str">
        <f t="shared" si="7"/>
        <v>Nice cutting edge. Your grandpa won't miss it until spring comes and he tries to cut his grass. {HP} HP, {DP} DP, {fracture} fracture, and {normal} normal.</v>
      </c>
      <c r="R52" t="s">
        <v>512</v>
      </c>
    </row>
    <row r="53" spans="1:18" ht="12.75">
      <c r="A53" t="s">
        <v>584</v>
      </c>
      <c r="B53" s="22" t="s">
        <v>53</v>
      </c>
      <c r="C53" s="27">
        <v>8</v>
      </c>
      <c r="D53" s="18">
        <v>1</v>
      </c>
      <c r="E53">
        <v>2</v>
      </c>
      <c r="F53">
        <f t="shared" si="8"/>
        <v>290</v>
      </c>
      <c r="G53">
        <f t="shared" si="9"/>
        <v>1600</v>
      </c>
      <c r="H53">
        <v>1</v>
      </c>
      <c r="I53" s="18">
        <f t="shared" si="3"/>
        <v>580</v>
      </c>
      <c r="J53" s="18">
        <f t="shared" si="4"/>
        <v>1600</v>
      </c>
      <c r="K53" s="22">
        <v>1</v>
      </c>
      <c r="L53" s="34">
        <f t="shared" si="5"/>
        <v>2.9</v>
      </c>
      <c r="M53" s="36">
        <f t="shared" si="6"/>
        <v>0</v>
      </c>
      <c r="N53" s="20">
        <v>50</v>
      </c>
      <c r="O53">
        <f t="shared" si="10"/>
        <v>58000</v>
      </c>
      <c r="Q53" s="28" t="str">
        <f t="shared" si="7"/>
        <v>Sharp pointed spike for a variety of poking uses. {HP} HP, {DP} DP, {fracture} fracture, and {normal} normal.</v>
      </c>
      <c r="R53" t="s">
        <v>513</v>
      </c>
    </row>
    <row r="54" spans="1:18" ht="12.75">
      <c r="A54" t="s">
        <v>585</v>
      </c>
      <c r="B54" s="22" t="s">
        <v>54</v>
      </c>
      <c r="C54" s="27">
        <v>6</v>
      </c>
      <c r="D54" s="18">
        <v>1</v>
      </c>
      <c r="E54">
        <v>2</v>
      </c>
      <c r="F54">
        <f t="shared" si="8"/>
        <v>280</v>
      </c>
      <c r="G54">
        <f t="shared" si="9"/>
        <v>1200</v>
      </c>
      <c r="H54">
        <v>1</v>
      </c>
      <c r="I54" s="18">
        <f t="shared" si="3"/>
        <v>560</v>
      </c>
      <c r="J54" s="18">
        <f t="shared" si="4"/>
        <v>1200</v>
      </c>
      <c r="K54" s="22">
        <v>1</v>
      </c>
      <c r="L54" s="34">
        <f t="shared" si="5"/>
        <v>2.8</v>
      </c>
      <c r="M54" s="36">
        <f t="shared" si="6"/>
        <v>0</v>
      </c>
      <c r="N54" s="20">
        <v>50</v>
      </c>
      <c r="O54">
        <f t="shared" si="10"/>
        <v>56000</v>
      </c>
      <c r="Q54" s="28" t="str">
        <f t="shared" si="7"/>
        <v>All-purpose sharpened steel pole. Several lengths.  This one has {HP} HP, {DP} DP, {fracture} fracture, and {normal} normal.</v>
      </c>
      <c r="R54" t="s">
        <v>514</v>
      </c>
    </row>
    <row r="55" spans="1:18" ht="12.75">
      <c r="A55" t="s">
        <v>586</v>
      </c>
      <c r="B55" s="22" t="s">
        <v>55</v>
      </c>
      <c r="C55" s="27">
        <v>10</v>
      </c>
      <c r="D55" s="18">
        <v>1</v>
      </c>
      <c r="E55">
        <v>2</v>
      </c>
      <c r="F55">
        <f t="shared" si="8"/>
        <v>300</v>
      </c>
      <c r="G55">
        <f t="shared" si="9"/>
        <v>2000</v>
      </c>
      <c r="H55">
        <v>1</v>
      </c>
      <c r="I55" s="18">
        <f t="shared" si="3"/>
        <v>600</v>
      </c>
      <c r="J55" s="18">
        <f t="shared" si="4"/>
        <v>2000</v>
      </c>
      <c r="K55" s="22">
        <v>1</v>
      </c>
      <c r="L55" s="34">
        <f t="shared" si="5"/>
        <v>3</v>
      </c>
      <c r="M55" s="36">
        <f t="shared" si="6"/>
        <v>0</v>
      </c>
      <c r="N55" s="20">
        <v>50</v>
      </c>
      <c r="O55">
        <f t="shared" si="10"/>
        <v>60000</v>
      </c>
      <c r="Q55" s="28" t="str">
        <f t="shared" si="7"/>
        <v>All-purpose sharpened steel pole. Several lengths.  This one has {HP} HP, {DP} DP, {fracture} fracture, and {normal} normal.</v>
      </c>
      <c r="R55" t="s">
        <v>514</v>
      </c>
    </row>
    <row r="56" spans="1:18" ht="12.75">
      <c r="A56" t="s">
        <v>587</v>
      </c>
      <c r="B56" s="22" t="s">
        <v>56</v>
      </c>
      <c r="C56" s="27">
        <v>14</v>
      </c>
      <c r="D56" s="18">
        <v>1</v>
      </c>
      <c r="E56">
        <v>2</v>
      </c>
      <c r="F56">
        <f t="shared" si="8"/>
        <v>320</v>
      </c>
      <c r="G56">
        <f t="shared" si="9"/>
        <v>2800</v>
      </c>
      <c r="H56">
        <v>1</v>
      </c>
      <c r="I56" s="18">
        <f t="shared" si="3"/>
        <v>640</v>
      </c>
      <c r="J56" s="18">
        <f t="shared" si="4"/>
        <v>2800</v>
      </c>
      <c r="K56" s="22">
        <v>1</v>
      </c>
      <c r="L56" s="34">
        <f t="shared" si="5"/>
        <v>3.2</v>
      </c>
      <c r="M56" s="36">
        <f t="shared" si="6"/>
        <v>0</v>
      </c>
      <c r="N56" s="20">
        <v>50</v>
      </c>
      <c r="O56">
        <f t="shared" si="10"/>
        <v>64000</v>
      </c>
      <c r="Q56" s="28" t="str">
        <f t="shared" si="7"/>
        <v>All-purpose sharpened steel pole. Several lengths.  This one has {HP} HP, {DP} DP, {fracture} fracture, and {normal} normal.</v>
      </c>
      <c r="R56" t="s">
        <v>514</v>
      </c>
    </row>
    <row r="57" spans="1:18" ht="12.75">
      <c r="A57" t="s">
        <v>588</v>
      </c>
      <c r="B57" s="22" t="s">
        <v>52</v>
      </c>
      <c r="C57" s="27">
        <v>7</v>
      </c>
      <c r="D57" s="32" t="s">
        <v>466</v>
      </c>
      <c r="E57">
        <v>1</v>
      </c>
      <c r="F57">
        <f t="shared" si="8"/>
        <v>285</v>
      </c>
      <c r="G57">
        <f t="shared" si="9"/>
        <v>1400</v>
      </c>
      <c r="H57">
        <v>1.4</v>
      </c>
      <c r="I57" s="18">
        <f t="shared" si="3"/>
        <v>399</v>
      </c>
      <c r="J57" s="18">
        <f t="shared" si="4"/>
        <v>1000</v>
      </c>
      <c r="K57" s="22">
        <v>1</v>
      </c>
      <c r="L57" s="34">
        <f t="shared" si="5"/>
        <v>2</v>
      </c>
      <c r="M57" s="36">
        <f t="shared" si="6"/>
        <v>0</v>
      </c>
      <c r="N57" s="20">
        <v>50</v>
      </c>
      <c r="O57">
        <f t="shared" si="10"/>
        <v>57000</v>
      </c>
      <c r="Q57" s="28" t="str">
        <f t="shared" si="7"/>
        <v>Hardened steel core with embedded razor blades. {HP} HP, {DP} DP, {fracture} fracture, and {normal} normal.</v>
      </c>
      <c r="R57" t="s">
        <v>515</v>
      </c>
    </row>
    <row r="58" spans="1:18" ht="12.75">
      <c r="A58" t="s">
        <v>589</v>
      </c>
      <c r="B58" s="22" t="s">
        <v>81</v>
      </c>
      <c r="C58" s="27">
        <v>22</v>
      </c>
      <c r="D58" s="18">
        <v>1.5</v>
      </c>
      <c r="E58">
        <v>2</v>
      </c>
      <c r="F58">
        <f t="shared" si="8"/>
        <v>360</v>
      </c>
      <c r="G58">
        <f t="shared" si="9"/>
        <v>4400</v>
      </c>
      <c r="H58">
        <v>1</v>
      </c>
      <c r="I58" s="18">
        <f t="shared" si="3"/>
        <v>720</v>
      </c>
      <c r="J58" s="18">
        <f t="shared" si="4"/>
        <v>4400</v>
      </c>
      <c r="K58" s="22">
        <v>0.7</v>
      </c>
      <c r="L58" s="34">
        <f t="shared" si="5"/>
        <v>2.52</v>
      </c>
      <c r="M58" s="36">
        <f t="shared" si="6"/>
        <v>2.16</v>
      </c>
      <c r="N58" s="20">
        <v>300</v>
      </c>
      <c r="O58">
        <f t="shared" si="10"/>
        <v>72000</v>
      </c>
      <c r="Q58" s="28" t="str">
        <f t="shared" si="7"/>
        <v>This frighteningly large tooth will make a mess of your opponent with {HP} HP, {DP} DP, {fracture} fracture, and {normal} normal.</v>
      </c>
      <c r="R58" t="s">
        <v>516</v>
      </c>
    </row>
    <row r="59" spans="1:18" ht="12.75">
      <c r="A59" t="s">
        <v>590</v>
      </c>
      <c r="B59" s="22" t="s">
        <v>82</v>
      </c>
      <c r="C59" s="27">
        <v>12</v>
      </c>
      <c r="D59" s="18">
        <v>2</v>
      </c>
      <c r="E59">
        <v>2</v>
      </c>
      <c r="F59">
        <f t="shared" si="8"/>
        <v>310</v>
      </c>
      <c r="G59">
        <f t="shared" si="9"/>
        <v>2400</v>
      </c>
      <c r="H59">
        <v>1</v>
      </c>
      <c r="I59" s="18">
        <f t="shared" si="3"/>
        <v>620</v>
      </c>
      <c r="J59" s="18">
        <f t="shared" si="4"/>
        <v>2400</v>
      </c>
      <c r="K59" s="22">
        <v>0.7</v>
      </c>
      <c r="L59" s="34">
        <f t="shared" si="5"/>
        <v>2.17</v>
      </c>
      <c r="M59" s="36">
        <f t="shared" si="6"/>
        <v>1.86</v>
      </c>
      <c r="N59" s="20">
        <v>50</v>
      </c>
      <c r="O59">
        <f t="shared" si="10"/>
        <v>62000</v>
      </c>
      <c r="Q59" s="28" t="str">
        <f t="shared" si="7"/>
        <v>This double sided tooth is deadly when spun in either direction.  It has {HP} HP, {DP} DP, {fracture} fracture, and {normal} normal.</v>
      </c>
      <c r="R59" s="28" t="s">
        <v>517</v>
      </c>
    </row>
    <row r="60" spans="1:18" ht="12.75">
      <c r="A60" t="s">
        <v>591</v>
      </c>
      <c r="B60" s="22" t="s">
        <v>83</v>
      </c>
      <c r="C60" s="27">
        <v>5</v>
      </c>
      <c r="D60" s="18">
        <v>3</v>
      </c>
      <c r="E60">
        <v>1.4</v>
      </c>
      <c r="F60">
        <f t="shared" si="8"/>
        <v>275</v>
      </c>
      <c r="G60">
        <f t="shared" si="9"/>
        <v>1000</v>
      </c>
      <c r="H60">
        <v>1</v>
      </c>
      <c r="I60" s="18">
        <f t="shared" si="3"/>
        <v>385</v>
      </c>
      <c r="J60" s="18">
        <f t="shared" si="4"/>
        <v>1000</v>
      </c>
      <c r="K60" s="22">
        <v>0.7</v>
      </c>
      <c r="L60" s="34">
        <f t="shared" si="5"/>
        <v>1.35</v>
      </c>
      <c r="M60" s="36">
        <f t="shared" si="6"/>
        <v>1.16</v>
      </c>
      <c r="N60" s="20">
        <v>50</v>
      </c>
      <c r="O60">
        <f t="shared" si="10"/>
        <v>55000</v>
      </c>
      <c r="Q60" s="28" t="str">
        <f t="shared" si="7"/>
        <v>This three-pointed tooth can be used for ramming or spinning weapons.  It has {HP} HP, {DP} DP, {fracture} fracture, and {normal} normal.</v>
      </c>
      <c r="R60" s="28" t="s">
        <v>518</v>
      </c>
    </row>
    <row r="61" spans="1:18" ht="12.75">
      <c r="A61" t="s">
        <v>592</v>
      </c>
      <c r="B61" s="22" t="s">
        <v>418</v>
      </c>
      <c r="C61" s="27">
        <v>25</v>
      </c>
      <c r="D61" s="18">
        <v>2</v>
      </c>
      <c r="E61">
        <v>2</v>
      </c>
      <c r="F61">
        <f t="shared" si="8"/>
        <v>375</v>
      </c>
      <c r="G61">
        <f t="shared" si="9"/>
        <v>5000</v>
      </c>
      <c r="H61">
        <v>1</v>
      </c>
      <c r="I61" s="18">
        <f t="shared" si="3"/>
        <v>750</v>
      </c>
      <c r="J61" s="18">
        <f t="shared" si="4"/>
        <v>5000</v>
      </c>
      <c r="K61" s="22">
        <v>0</v>
      </c>
      <c r="L61" s="34">
        <f t="shared" si="5"/>
        <v>0</v>
      </c>
      <c r="M61" s="36">
        <f t="shared" si="6"/>
        <v>7.5</v>
      </c>
      <c r="N61" s="20">
        <v>300</v>
      </c>
      <c r="O61">
        <f t="shared" si="10"/>
        <v>75000</v>
      </c>
      <c r="Q61" s="28" t="str">
        <f t="shared" si="7"/>
        <v>frenZy's meat tenderizer hammer for tenderizing your opponent's chassis. {HP} HP, {DP} DP, {fracture} fracture, and {normal} normal.</v>
      </c>
      <c r="R61" t="s">
        <v>519</v>
      </c>
    </row>
    <row r="62" spans="1:18" ht="12.75">
      <c r="A62" t="s">
        <v>593</v>
      </c>
      <c r="B62" s="22" t="s">
        <v>41</v>
      </c>
      <c r="C62" s="27">
        <v>55</v>
      </c>
      <c r="D62" s="32" t="s">
        <v>466</v>
      </c>
      <c r="E62">
        <v>1</v>
      </c>
      <c r="F62">
        <f t="shared" si="8"/>
        <v>525</v>
      </c>
      <c r="G62">
        <f t="shared" si="9"/>
        <v>11000</v>
      </c>
      <c r="H62">
        <v>0.75</v>
      </c>
      <c r="I62" s="18">
        <f t="shared" si="3"/>
        <v>394</v>
      </c>
      <c r="J62" s="18">
        <f t="shared" si="4"/>
        <v>14667</v>
      </c>
      <c r="K62" s="22">
        <v>0</v>
      </c>
      <c r="L62" s="34">
        <f t="shared" si="5"/>
        <v>0</v>
      </c>
      <c r="M62" s="36">
        <f t="shared" si="6"/>
        <v>3.94</v>
      </c>
      <c r="N62" s="20">
        <v>500</v>
      </c>
      <c r="O62">
        <f t="shared" si="10"/>
        <v>105000</v>
      </c>
      <c r="Q62" s="28" t="str">
        <f t="shared" si="7"/>
        <v>When you need a lot of pure brute force compacted into one mother-of-all-weapons, these hammers are the way to go.  This one has {HP} HP, {DP} DP, {fracture} fracture, and {normal} normal.</v>
      </c>
      <c r="R62" t="s">
        <v>486</v>
      </c>
    </row>
    <row r="63" spans="1:18" ht="12.75">
      <c r="A63" t="s">
        <v>594</v>
      </c>
      <c r="B63" s="22" t="s">
        <v>42</v>
      </c>
      <c r="C63" s="27">
        <v>45</v>
      </c>
      <c r="D63" s="32" t="s">
        <v>466</v>
      </c>
      <c r="E63">
        <v>1</v>
      </c>
      <c r="F63">
        <f t="shared" si="8"/>
        <v>475</v>
      </c>
      <c r="G63">
        <f t="shared" si="9"/>
        <v>9000</v>
      </c>
      <c r="H63">
        <v>0.75</v>
      </c>
      <c r="I63" s="18">
        <f t="shared" si="3"/>
        <v>356</v>
      </c>
      <c r="J63" s="18">
        <f t="shared" si="4"/>
        <v>12000</v>
      </c>
      <c r="K63" s="22">
        <v>0</v>
      </c>
      <c r="L63" s="34">
        <f t="shared" si="5"/>
        <v>0</v>
      </c>
      <c r="M63" s="36">
        <f t="shared" si="6"/>
        <v>3.56</v>
      </c>
      <c r="N63" s="20">
        <v>500</v>
      </c>
      <c r="O63">
        <f t="shared" si="10"/>
        <v>95000</v>
      </c>
      <c r="Q63" s="28" t="str">
        <f t="shared" si="7"/>
        <v>When you need a lot of pure brute force compacted into one mother-of-all-weapons, these hammers are the way to go.  This one has {HP} HP, {DP} DP, {fracture} fracture, and {normal} normal.</v>
      </c>
      <c r="R63" t="s">
        <v>486</v>
      </c>
    </row>
    <row r="64" spans="1:18" ht="12.75">
      <c r="A64" t="s">
        <v>595</v>
      </c>
      <c r="B64" s="22" t="s">
        <v>43</v>
      </c>
      <c r="C64" s="27">
        <v>70</v>
      </c>
      <c r="D64" s="32" t="s">
        <v>466</v>
      </c>
      <c r="E64">
        <v>1</v>
      </c>
      <c r="F64">
        <f t="shared" si="8"/>
        <v>600</v>
      </c>
      <c r="G64">
        <f t="shared" si="9"/>
        <v>14000</v>
      </c>
      <c r="H64">
        <v>0.75</v>
      </c>
      <c r="I64" s="18">
        <f t="shared" si="3"/>
        <v>450</v>
      </c>
      <c r="J64" s="18">
        <f t="shared" si="4"/>
        <v>18667</v>
      </c>
      <c r="K64" s="22">
        <v>0</v>
      </c>
      <c r="L64" s="34">
        <f t="shared" si="5"/>
        <v>0</v>
      </c>
      <c r="M64" s="36">
        <f t="shared" si="6"/>
        <v>4.5</v>
      </c>
      <c r="N64" s="20">
        <v>500</v>
      </c>
      <c r="O64">
        <f t="shared" si="10"/>
        <v>120000</v>
      </c>
      <c r="Q64" s="28" t="str">
        <f t="shared" si="7"/>
        <v>This massive hammer is the strongest weapon available, if you can manage to move it.  It has {HP} HP, {DP} DP, {fracture} fracture, and {normal} normal.</v>
      </c>
      <c r="R64" s="28" t="s">
        <v>520</v>
      </c>
    </row>
    <row r="65" spans="1:18" ht="12.75">
      <c r="A65" t="s">
        <v>596</v>
      </c>
      <c r="B65" s="22" t="s">
        <v>358</v>
      </c>
      <c r="C65" s="27">
        <v>14</v>
      </c>
      <c r="D65" s="18">
        <v>1</v>
      </c>
      <c r="E65">
        <v>2</v>
      </c>
      <c r="F65">
        <f t="shared" si="8"/>
        <v>320</v>
      </c>
      <c r="G65">
        <f t="shared" si="9"/>
        <v>2800</v>
      </c>
      <c r="H65">
        <v>1</v>
      </c>
      <c r="I65" s="18">
        <f t="shared" si="3"/>
        <v>640</v>
      </c>
      <c r="J65" s="18">
        <f t="shared" si="4"/>
        <v>2800</v>
      </c>
      <c r="K65" s="22">
        <v>0.8</v>
      </c>
      <c r="L65" s="34">
        <f t="shared" si="5"/>
        <v>2.56</v>
      </c>
      <c r="M65" s="36">
        <f t="shared" si="6"/>
        <v>1.28</v>
      </c>
      <c r="N65" s="20">
        <v>200</v>
      </c>
      <c r="O65">
        <f t="shared" si="10"/>
        <v>64000</v>
      </c>
      <c r="Q65" s="28" t="str">
        <f t="shared" si="7"/>
        <v>With the right force and angle of attack, this heavy-duty spike is capable of spearing bots like olives. {HP} HP, {DP} DP, {fracture} fracture, and {normal} normal.</v>
      </c>
      <c r="R65" t="s">
        <v>521</v>
      </c>
    </row>
    <row r="66" spans="1:18" ht="12.75">
      <c r="A66" t="s">
        <v>597</v>
      </c>
      <c r="B66" s="22" t="s">
        <v>359</v>
      </c>
      <c r="C66" s="27">
        <v>23</v>
      </c>
      <c r="D66" s="18">
        <v>1</v>
      </c>
      <c r="E66">
        <v>2</v>
      </c>
      <c r="F66">
        <f aca="true" t="shared" si="11" ref="F66:F97">(O66*C66)/G66</f>
        <v>365</v>
      </c>
      <c r="G66">
        <f aca="true" t="shared" si="12" ref="G66:G97">C66*200</f>
        <v>4600</v>
      </c>
      <c r="H66">
        <v>1</v>
      </c>
      <c r="I66" s="18">
        <f t="shared" si="3"/>
        <v>730</v>
      </c>
      <c r="J66" s="18">
        <f t="shared" si="4"/>
        <v>4600</v>
      </c>
      <c r="K66" s="22">
        <v>0.8</v>
      </c>
      <c r="L66" s="34">
        <f t="shared" si="5"/>
        <v>2.92</v>
      </c>
      <c r="M66" s="36">
        <f t="shared" si="6"/>
        <v>1.46</v>
      </c>
      <c r="N66" s="20">
        <v>200</v>
      </c>
      <c r="O66">
        <f aca="true" t="shared" si="13" ref="O66:O97">50000+(C66*1000)</f>
        <v>73000</v>
      </c>
      <c r="Q66" s="28" t="str">
        <f t="shared" si="7"/>
        <v>With the right force and angle of attack, this heavy-duty spike is capable of spearing bots like olives. {HP} HP, {DP} DP, {fracture} fracture, and {normal} normal.</v>
      </c>
      <c r="R66" t="s">
        <v>521</v>
      </c>
    </row>
    <row r="67" spans="1:18" ht="12.75">
      <c r="A67" t="s">
        <v>598</v>
      </c>
      <c r="B67" s="22" t="s">
        <v>360</v>
      </c>
      <c r="C67" s="27">
        <v>32</v>
      </c>
      <c r="D67" s="18">
        <v>1</v>
      </c>
      <c r="E67">
        <v>2</v>
      </c>
      <c r="F67">
        <f t="shared" si="11"/>
        <v>410</v>
      </c>
      <c r="G67">
        <f t="shared" si="12"/>
        <v>6400</v>
      </c>
      <c r="H67">
        <v>1</v>
      </c>
      <c r="I67" s="18">
        <f aca="true" t="shared" si="14" ref="I67:I110">ROUND(F67*E67*H67,0)</f>
        <v>820</v>
      </c>
      <c r="J67" s="18">
        <f aca="true" t="shared" si="15" ref="J67:J110">ROUND(G67/H67,0)</f>
        <v>6400</v>
      </c>
      <c r="K67" s="22">
        <v>0.8</v>
      </c>
      <c r="L67" s="34">
        <f aca="true" t="shared" si="16" ref="L67:L110">ROUND(I67*K67/200,2)</f>
        <v>3.28</v>
      </c>
      <c r="M67" s="36">
        <f aca="true" t="shared" si="17" ref="M67:M110">ROUND(I67*(1-K67)/100,2)</f>
        <v>1.64</v>
      </c>
      <c r="N67" s="20">
        <v>200</v>
      </c>
      <c r="O67">
        <f t="shared" si="13"/>
        <v>82000</v>
      </c>
      <c r="Q67" s="28" t="str">
        <f aca="true" t="shared" si="18" ref="Q67:Q110">R67&amp;" "&amp;$S$1</f>
        <v>With the right force and angle of attack, this heavy-duty spike is capable of spearing bots like olives. {HP} HP, {DP} DP, {fracture} fracture, and {normal} normal.</v>
      </c>
      <c r="R67" t="s">
        <v>521</v>
      </c>
    </row>
    <row r="68" spans="1:18" ht="12.75">
      <c r="A68" t="s">
        <v>599</v>
      </c>
      <c r="B68" s="22" t="s">
        <v>361</v>
      </c>
      <c r="C68" s="27">
        <v>41</v>
      </c>
      <c r="D68" s="18">
        <v>1</v>
      </c>
      <c r="E68">
        <v>2</v>
      </c>
      <c r="F68">
        <f t="shared" si="11"/>
        <v>455</v>
      </c>
      <c r="G68">
        <f t="shared" si="12"/>
        <v>8200</v>
      </c>
      <c r="H68">
        <v>1</v>
      </c>
      <c r="I68" s="18">
        <f t="shared" si="14"/>
        <v>910</v>
      </c>
      <c r="J68" s="18">
        <f t="shared" si="15"/>
        <v>8200</v>
      </c>
      <c r="K68" s="22">
        <v>0.8</v>
      </c>
      <c r="L68" s="34">
        <f t="shared" si="16"/>
        <v>3.64</v>
      </c>
      <c r="M68" s="36">
        <f t="shared" si="17"/>
        <v>1.82</v>
      </c>
      <c r="N68" s="20">
        <v>200</v>
      </c>
      <c r="O68">
        <f t="shared" si="13"/>
        <v>91000</v>
      </c>
      <c r="Q68" s="28" t="str">
        <f t="shared" si="18"/>
        <v>With the right force and angle of attack, this heavy-duty spike is capable of spearing bots like olives. {HP} HP, {DP} DP, {fracture} fracture, and {normal} normal.</v>
      </c>
      <c r="R68" t="s">
        <v>521</v>
      </c>
    </row>
    <row r="69" spans="1:18" ht="12.75">
      <c r="A69" t="s">
        <v>600</v>
      </c>
      <c r="B69" s="22" t="s">
        <v>362</v>
      </c>
      <c r="C69" s="27">
        <v>50</v>
      </c>
      <c r="D69" s="18">
        <v>1</v>
      </c>
      <c r="E69">
        <v>2</v>
      </c>
      <c r="F69">
        <f t="shared" si="11"/>
        <v>500</v>
      </c>
      <c r="G69">
        <f t="shared" si="12"/>
        <v>10000</v>
      </c>
      <c r="H69">
        <v>1</v>
      </c>
      <c r="I69" s="18">
        <f t="shared" si="14"/>
        <v>1000</v>
      </c>
      <c r="J69" s="18">
        <f t="shared" si="15"/>
        <v>10000</v>
      </c>
      <c r="K69" s="22">
        <v>0.8</v>
      </c>
      <c r="L69" s="34">
        <f t="shared" si="16"/>
        <v>4</v>
      </c>
      <c r="M69" s="36">
        <f t="shared" si="17"/>
        <v>2</v>
      </c>
      <c r="N69" s="20">
        <v>200</v>
      </c>
      <c r="O69">
        <f t="shared" si="13"/>
        <v>100000</v>
      </c>
      <c r="Q69" s="28" t="str">
        <f t="shared" si="18"/>
        <v>With the right force and angle of attack, this heavy-duty spike is capable of spearing bots like olives. {HP} HP, {DP} DP, {fracture} fracture, and {normal} normal.</v>
      </c>
      <c r="R69" t="s">
        <v>521</v>
      </c>
    </row>
    <row r="70" spans="1:18" ht="12.75">
      <c r="A70" t="s">
        <v>601</v>
      </c>
      <c r="B70" s="22" t="s">
        <v>44</v>
      </c>
      <c r="C70" s="27">
        <v>60</v>
      </c>
      <c r="D70" s="32" t="s">
        <v>466</v>
      </c>
      <c r="E70">
        <v>1</v>
      </c>
      <c r="F70">
        <f t="shared" si="11"/>
        <v>550</v>
      </c>
      <c r="G70">
        <f t="shared" si="12"/>
        <v>12000</v>
      </c>
      <c r="H70">
        <v>0.75</v>
      </c>
      <c r="I70" s="18">
        <f t="shared" si="14"/>
        <v>413</v>
      </c>
      <c r="J70" s="18">
        <f t="shared" si="15"/>
        <v>16000</v>
      </c>
      <c r="K70" s="22">
        <v>0</v>
      </c>
      <c r="L70" s="34">
        <f t="shared" si="16"/>
        <v>0</v>
      </c>
      <c r="M70" s="36">
        <f t="shared" si="17"/>
        <v>4.13</v>
      </c>
      <c r="N70" s="20">
        <v>500</v>
      </c>
      <c r="O70">
        <f t="shared" si="13"/>
        <v>110000</v>
      </c>
      <c r="Q70" s="28" t="str">
        <f t="shared" si="18"/>
        <v>Heavier.  Gooder for smash stuff. {HP} HP, {DP} DP, {fracture} fracture, and {normal} normal.</v>
      </c>
      <c r="R70" s="28" t="s">
        <v>522</v>
      </c>
    </row>
    <row r="71" spans="1:18" ht="12.75">
      <c r="A71" t="s">
        <v>602</v>
      </c>
      <c r="B71" s="22" t="s">
        <v>84</v>
      </c>
      <c r="C71" s="27">
        <v>10</v>
      </c>
      <c r="D71" s="18">
        <v>1.5</v>
      </c>
      <c r="E71">
        <v>2</v>
      </c>
      <c r="F71">
        <f t="shared" si="11"/>
        <v>300</v>
      </c>
      <c r="G71">
        <f t="shared" si="12"/>
        <v>2000</v>
      </c>
      <c r="H71">
        <v>1</v>
      </c>
      <c r="I71" s="18">
        <f t="shared" si="14"/>
        <v>600</v>
      </c>
      <c r="J71" s="18">
        <f t="shared" si="15"/>
        <v>2000</v>
      </c>
      <c r="K71" s="22">
        <v>0.7</v>
      </c>
      <c r="L71" s="34">
        <f t="shared" si="16"/>
        <v>2.1</v>
      </c>
      <c r="M71" s="36">
        <f t="shared" si="17"/>
        <v>1.8</v>
      </c>
      <c r="N71" s="20">
        <v>50</v>
      </c>
      <c r="O71">
        <f t="shared" si="13"/>
        <v>60000</v>
      </c>
      <c r="Q71" s="28" t="str">
        <f t="shared" si="18"/>
        <v>This is the tooth from the robot Hypnodisc with {HP} HP, {DP} DP, {fracture} fracture, and {normal} normal.</v>
      </c>
      <c r="R71" t="s">
        <v>523</v>
      </c>
    </row>
    <row r="72" spans="1:18" ht="12.75">
      <c r="A72" s="28" t="s">
        <v>603</v>
      </c>
      <c r="B72" s="22" t="s">
        <v>49</v>
      </c>
      <c r="C72" s="27">
        <v>11</v>
      </c>
      <c r="D72" s="18">
        <v>1</v>
      </c>
      <c r="E72">
        <v>2</v>
      </c>
      <c r="F72">
        <f t="shared" si="11"/>
        <v>305</v>
      </c>
      <c r="G72">
        <f t="shared" si="12"/>
        <v>2200</v>
      </c>
      <c r="H72">
        <v>0.9</v>
      </c>
      <c r="I72" s="18">
        <f t="shared" si="14"/>
        <v>549</v>
      </c>
      <c r="J72" s="18">
        <f t="shared" si="15"/>
        <v>2444</v>
      </c>
      <c r="K72" s="22">
        <v>0.9</v>
      </c>
      <c r="L72" s="34">
        <f t="shared" si="16"/>
        <v>2.47</v>
      </c>
      <c r="M72" s="36">
        <f t="shared" si="17"/>
        <v>0.55</v>
      </c>
      <c r="N72" s="20">
        <v>50</v>
      </c>
      <c r="O72">
        <f t="shared" si="13"/>
        <v>61000</v>
      </c>
      <c r="Q72" s="28" t="str">
        <f t="shared" si="18"/>
        <v>Everyone loves a good icepick. Especially when it smashes the control board of your opponent! {HP} HP, {DP} DP, {fracture} fracture, and {normal} normal.</v>
      </c>
      <c r="R72" t="s">
        <v>510</v>
      </c>
    </row>
    <row r="73" spans="1:18" ht="12.75">
      <c r="A73" t="s">
        <v>604</v>
      </c>
      <c r="B73" s="22" t="s">
        <v>89</v>
      </c>
      <c r="C73" s="27">
        <v>25</v>
      </c>
      <c r="D73" s="32" t="s">
        <v>466</v>
      </c>
      <c r="E73">
        <v>1</v>
      </c>
      <c r="F73">
        <f t="shared" si="11"/>
        <v>375</v>
      </c>
      <c r="G73">
        <f t="shared" si="12"/>
        <v>5000</v>
      </c>
      <c r="H73">
        <v>0.7</v>
      </c>
      <c r="I73" s="18">
        <f t="shared" si="14"/>
        <v>263</v>
      </c>
      <c r="J73" s="18">
        <f t="shared" si="15"/>
        <v>7143</v>
      </c>
      <c r="K73" s="22">
        <v>0</v>
      </c>
      <c r="L73" s="34">
        <f t="shared" si="16"/>
        <v>0</v>
      </c>
      <c r="M73" s="36">
        <f t="shared" si="17"/>
        <v>2.63</v>
      </c>
      <c r="N73" s="20">
        <v>200</v>
      </c>
      <c r="O73">
        <f t="shared" si="13"/>
        <v>75000</v>
      </c>
      <c r="Q73" s="28" t="str">
        <f t="shared" si="18"/>
        <v>This aint no boxing glove. An Iron Fist in the jaw will knock the brains right out of your head. {HP} HP, {DP} DP, {fracture} fracture, and {normal} normal.</v>
      </c>
      <c r="R73" t="s">
        <v>524</v>
      </c>
    </row>
    <row r="74" spans="1:18" ht="12.75">
      <c r="A74" t="s">
        <v>605</v>
      </c>
      <c r="B74" s="22" t="s">
        <v>415</v>
      </c>
      <c r="C74" s="27">
        <v>7</v>
      </c>
      <c r="D74" s="18" t="s">
        <v>466</v>
      </c>
      <c r="E74">
        <v>1</v>
      </c>
      <c r="F74">
        <f t="shared" si="11"/>
        <v>285</v>
      </c>
      <c r="G74">
        <f t="shared" si="12"/>
        <v>1400</v>
      </c>
      <c r="H74">
        <v>0.875</v>
      </c>
      <c r="I74" s="18">
        <f t="shared" si="14"/>
        <v>249</v>
      </c>
      <c r="J74" s="18">
        <f t="shared" si="15"/>
        <v>1600</v>
      </c>
      <c r="K74" s="22">
        <v>0.8</v>
      </c>
      <c r="L74" s="34">
        <f t="shared" si="16"/>
        <v>1</v>
      </c>
      <c r="M74" s="36">
        <f t="shared" si="17"/>
        <v>0.5</v>
      </c>
      <c r="N74" s="20">
        <v>50</v>
      </c>
      <c r="O74">
        <f t="shared" si="13"/>
        <v>57000</v>
      </c>
      <c r="Q74" s="28" t="str">
        <f t="shared" si="18"/>
        <v>This is the spike from the robot Lightning. {HP} HP, {DP} DP, {fracture} fracture, and {normal} normal.</v>
      </c>
      <c r="R74" t="s">
        <v>525</v>
      </c>
    </row>
    <row r="75" spans="1:18" ht="12.75">
      <c r="A75" t="s">
        <v>606</v>
      </c>
      <c r="B75" s="22" t="s">
        <v>401</v>
      </c>
      <c r="C75" s="27">
        <v>4</v>
      </c>
      <c r="D75" s="18">
        <v>1.5</v>
      </c>
      <c r="E75">
        <v>2</v>
      </c>
      <c r="F75">
        <f t="shared" si="11"/>
        <v>270</v>
      </c>
      <c r="G75">
        <f t="shared" si="12"/>
        <v>800</v>
      </c>
      <c r="H75">
        <v>0.9</v>
      </c>
      <c r="I75" s="18">
        <f t="shared" si="14"/>
        <v>486</v>
      </c>
      <c r="J75" s="18">
        <f t="shared" si="15"/>
        <v>889</v>
      </c>
      <c r="K75" s="22">
        <v>0.7</v>
      </c>
      <c r="L75" s="34">
        <f t="shared" si="16"/>
        <v>1.7</v>
      </c>
      <c r="M75" s="36">
        <f t="shared" si="17"/>
        <v>1.46</v>
      </c>
      <c r="N75" s="20">
        <v>50</v>
      </c>
      <c r="O75">
        <f t="shared" si="13"/>
        <v>54000</v>
      </c>
      <c r="Q75" s="28" t="str">
        <f t="shared" si="18"/>
        <v>This is the tooth from the disc of the robot Matilda. {HP} HP, {DP} DP, {fracture} fracture, and {normal} normal.</v>
      </c>
      <c r="R75" t="s">
        <v>526</v>
      </c>
    </row>
    <row r="76" spans="1:18" ht="12.75">
      <c r="A76" t="s">
        <v>607</v>
      </c>
      <c r="B76" s="22" t="s">
        <v>661</v>
      </c>
      <c r="C76" s="27">
        <v>35</v>
      </c>
      <c r="D76" s="18">
        <v>4</v>
      </c>
      <c r="E76">
        <v>1.4</v>
      </c>
      <c r="F76">
        <f t="shared" si="11"/>
        <v>425</v>
      </c>
      <c r="G76">
        <f t="shared" si="12"/>
        <v>7000</v>
      </c>
      <c r="H76">
        <v>1</v>
      </c>
      <c r="I76" s="18">
        <f t="shared" si="14"/>
        <v>595</v>
      </c>
      <c r="J76" s="18">
        <f t="shared" si="15"/>
        <v>7000</v>
      </c>
      <c r="K76" s="22">
        <v>0.5</v>
      </c>
      <c r="L76" s="34">
        <f t="shared" si="16"/>
        <v>1.49</v>
      </c>
      <c r="M76" s="36">
        <f t="shared" si="17"/>
        <v>2.98</v>
      </c>
      <c r="N76" s="20">
        <v>300</v>
      </c>
      <c r="O76">
        <f t="shared" si="13"/>
        <v>85000</v>
      </c>
      <c r="Q76" s="28" t="str">
        <f t="shared" si="18"/>
        <v>A smaller, lighter version of MechaVore's disc with {HP} HP, {DP} DP, {fracture} fracture, and {normal} normal.</v>
      </c>
      <c r="R76" t="s">
        <v>663</v>
      </c>
    </row>
    <row r="77" spans="1:18" ht="12.75">
      <c r="A77" t="s">
        <v>608</v>
      </c>
      <c r="B77" s="22" t="s">
        <v>85</v>
      </c>
      <c r="C77" s="27">
        <v>32</v>
      </c>
      <c r="D77" s="32">
        <v>4</v>
      </c>
      <c r="E77">
        <v>1.4</v>
      </c>
      <c r="F77">
        <f t="shared" si="11"/>
        <v>410</v>
      </c>
      <c r="G77">
        <f t="shared" si="12"/>
        <v>6400</v>
      </c>
      <c r="H77">
        <v>1</v>
      </c>
      <c r="I77" s="18">
        <f t="shared" si="14"/>
        <v>574</v>
      </c>
      <c r="J77" s="18">
        <f t="shared" si="15"/>
        <v>6400</v>
      </c>
      <c r="K77" s="22">
        <v>0.5</v>
      </c>
      <c r="L77" s="34">
        <f t="shared" si="16"/>
        <v>1.44</v>
      </c>
      <c r="M77" s="36">
        <f t="shared" si="17"/>
        <v>2.87</v>
      </c>
      <c r="N77" s="20">
        <v>400</v>
      </c>
      <c r="O77">
        <f t="shared" si="13"/>
        <v>82000</v>
      </c>
      <c r="Q77" s="28" t="str">
        <f t="shared" si="18"/>
        <v>This disc will make short work of your opponent with {HP} HP, {DP} DP, {fracture} fracture, and {normal} normal.</v>
      </c>
      <c r="R77" t="s">
        <v>527</v>
      </c>
    </row>
    <row r="78" spans="1:18" ht="12.75">
      <c r="A78" t="s">
        <v>609</v>
      </c>
      <c r="B78" s="22" t="s">
        <v>424</v>
      </c>
      <c r="C78" s="27">
        <v>40</v>
      </c>
      <c r="D78" s="18">
        <v>2</v>
      </c>
      <c r="E78">
        <v>1.4</v>
      </c>
      <c r="F78">
        <f t="shared" si="11"/>
        <v>450</v>
      </c>
      <c r="G78">
        <f t="shared" si="12"/>
        <v>8000</v>
      </c>
      <c r="H78">
        <v>1</v>
      </c>
      <c r="I78" s="18">
        <f t="shared" si="14"/>
        <v>630</v>
      </c>
      <c r="J78" s="18">
        <f t="shared" si="15"/>
        <v>8000</v>
      </c>
      <c r="K78" s="22">
        <v>0</v>
      </c>
      <c r="L78" s="34">
        <f t="shared" si="16"/>
        <v>0</v>
      </c>
      <c r="M78" s="36">
        <f t="shared" si="17"/>
        <v>6.3</v>
      </c>
      <c r="N78" s="20">
        <v>400</v>
      </c>
      <c r="O78">
        <f t="shared" si="13"/>
        <v>90000</v>
      </c>
      <c r="Q78" s="28" t="str">
        <f t="shared" si="18"/>
        <v>M.O.E.'s blade combined into one part for your convenience.  It has {HP} HP, {DP} DP, {fracture} fracture, and {normal} normal.</v>
      </c>
      <c r="R78" t="s">
        <v>528</v>
      </c>
    </row>
    <row r="79" spans="1:18" ht="12.75">
      <c r="A79" t="s">
        <v>610</v>
      </c>
      <c r="B79" s="22" t="s">
        <v>34</v>
      </c>
      <c r="C79" s="27">
        <v>15</v>
      </c>
      <c r="D79" s="18">
        <v>1.5</v>
      </c>
      <c r="E79">
        <v>2</v>
      </c>
      <c r="F79">
        <f t="shared" si="11"/>
        <v>325</v>
      </c>
      <c r="G79">
        <f t="shared" si="12"/>
        <v>3000</v>
      </c>
      <c r="H79">
        <v>1.1</v>
      </c>
      <c r="I79" s="18">
        <f t="shared" si="14"/>
        <v>715</v>
      </c>
      <c r="J79" s="18">
        <f t="shared" si="15"/>
        <v>2727</v>
      </c>
      <c r="K79" s="22">
        <v>0.7</v>
      </c>
      <c r="L79" s="34">
        <f t="shared" si="16"/>
        <v>2.5</v>
      </c>
      <c r="M79" s="36">
        <f t="shared" si="17"/>
        <v>2.15</v>
      </c>
      <c r="N79" s="20">
        <v>50</v>
      </c>
      <c r="O79">
        <f t="shared" si="13"/>
        <v>65000</v>
      </c>
      <c r="Q79" s="28" t="str">
        <f t="shared" si="18"/>
        <v>Small, sturdy tooth that mounts to the side.  Available in two sizes. {HP} HP, {DP} DP, {fracture} fracture, and {normal} normal.</v>
      </c>
      <c r="R79" t="s">
        <v>529</v>
      </c>
    </row>
    <row r="80" spans="1:18" ht="12.75">
      <c r="A80" t="s">
        <v>611</v>
      </c>
      <c r="B80" s="22" t="s">
        <v>35</v>
      </c>
      <c r="C80" s="27">
        <v>4</v>
      </c>
      <c r="D80" s="18">
        <v>1.5</v>
      </c>
      <c r="E80">
        <v>2</v>
      </c>
      <c r="F80">
        <f t="shared" si="11"/>
        <v>270</v>
      </c>
      <c r="G80">
        <f t="shared" si="12"/>
        <v>800</v>
      </c>
      <c r="H80">
        <v>1.1</v>
      </c>
      <c r="I80" s="18">
        <f t="shared" si="14"/>
        <v>594</v>
      </c>
      <c r="J80" s="18">
        <f t="shared" si="15"/>
        <v>727</v>
      </c>
      <c r="K80" s="22">
        <v>0.7</v>
      </c>
      <c r="L80" s="34">
        <f t="shared" si="16"/>
        <v>2.08</v>
      </c>
      <c r="M80" s="36">
        <f t="shared" si="17"/>
        <v>1.78</v>
      </c>
      <c r="N80" s="20">
        <v>50</v>
      </c>
      <c r="O80">
        <f t="shared" si="13"/>
        <v>54000</v>
      </c>
      <c r="Q80" s="28" t="str">
        <f t="shared" si="18"/>
        <v>Small, sturdy tooth that mounts to the side.  Available in two sizes. {HP} HP, {DP} DP, {fracture} fracture, and {normal} normal.</v>
      </c>
      <c r="R80" t="s">
        <v>529</v>
      </c>
    </row>
    <row r="81" spans="1:18" ht="12.75">
      <c r="A81" t="s">
        <v>612</v>
      </c>
      <c r="B81" s="22" t="s">
        <v>88</v>
      </c>
      <c r="C81" s="27">
        <v>14</v>
      </c>
      <c r="D81" s="18">
        <v>4</v>
      </c>
      <c r="E81">
        <v>1.4</v>
      </c>
      <c r="F81">
        <f t="shared" si="11"/>
        <v>320</v>
      </c>
      <c r="G81">
        <f t="shared" si="12"/>
        <v>2800</v>
      </c>
      <c r="H81">
        <v>1.25</v>
      </c>
      <c r="I81" s="18">
        <f t="shared" si="14"/>
        <v>560</v>
      </c>
      <c r="J81" s="18">
        <f t="shared" si="15"/>
        <v>2240</v>
      </c>
      <c r="K81" s="22">
        <v>0.8</v>
      </c>
      <c r="L81" s="34">
        <f t="shared" si="16"/>
        <v>2.24</v>
      </c>
      <c r="M81" s="36">
        <f t="shared" si="17"/>
        <v>1.12</v>
      </c>
      <c r="N81" s="20">
        <v>50</v>
      </c>
      <c r="O81">
        <f t="shared" si="13"/>
        <v>64000</v>
      </c>
      <c r="Q81" s="28" t="str">
        <f t="shared" si="18"/>
        <v>This is a giant replica of a ninja throwing star, adapted for use as a spinning or fixed weapon. {HP} HP, {DP} DP, {fracture} fracture, and {normal} normal.</v>
      </c>
      <c r="R81" t="s">
        <v>530</v>
      </c>
    </row>
    <row r="82" spans="1:18" ht="12.75">
      <c r="A82" t="s">
        <v>613</v>
      </c>
      <c r="B82" s="22" t="s">
        <v>420</v>
      </c>
      <c r="C82" s="27">
        <v>20</v>
      </c>
      <c r="D82" s="18">
        <v>2</v>
      </c>
      <c r="E82">
        <v>2</v>
      </c>
      <c r="F82">
        <f t="shared" si="11"/>
        <v>350</v>
      </c>
      <c r="G82">
        <f t="shared" si="12"/>
        <v>4000</v>
      </c>
      <c r="H82">
        <v>1</v>
      </c>
      <c r="I82" s="18">
        <f t="shared" si="14"/>
        <v>700</v>
      </c>
      <c r="J82" s="18">
        <f t="shared" si="15"/>
        <v>4000</v>
      </c>
      <c r="K82" s="22">
        <v>0.5</v>
      </c>
      <c r="L82" s="34">
        <f t="shared" si="16"/>
        <v>1.75</v>
      </c>
      <c r="M82" s="36">
        <f t="shared" si="17"/>
        <v>3.5</v>
      </c>
      <c r="N82" s="20">
        <v>300</v>
      </c>
      <c r="O82">
        <f t="shared" si="13"/>
        <v>70000</v>
      </c>
      <c r="Q82" s="28" t="str">
        <f t="shared" si="18"/>
        <v>Overkill's gigantic blade of DOOM! {HP} HP, {DP} DP, {fracture} fracture, and {normal} normal.</v>
      </c>
      <c r="R82" t="s">
        <v>531</v>
      </c>
    </row>
    <row r="83" spans="1:18" ht="12.75">
      <c r="A83" t="s">
        <v>614</v>
      </c>
      <c r="B83" s="22" t="s">
        <v>426</v>
      </c>
      <c r="C83" s="27">
        <v>28</v>
      </c>
      <c r="D83" s="18">
        <v>3</v>
      </c>
      <c r="E83">
        <v>1.4</v>
      </c>
      <c r="F83">
        <f t="shared" si="11"/>
        <v>390</v>
      </c>
      <c r="G83">
        <f t="shared" si="12"/>
        <v>5600</v>
      </c>
      <c r="H83">
        <v>0.7</v>
      </c>
      <c r="I83" s="18">
        <f t="shared" si="14"/>
        <v>382</v>
      </c>
      <c r="J83" s="18">
        <f t="shared" si="15"/>
        <v>8000</v>
      </c>
      <c r="K83" s="22">
        <v>0.7</v>
      </c>
      <c r="L83" s="34">
        <f t="shared" si="16"/>
        <v>1.34</v>
      </c>
      <c r="M83" s="36">
        <f t="shared" si="17"/>
        <v>1.15</v>
      </c>
      <c r="N83" s="20">
        <v>300</v>
      </c>
      <c r="O83">
        <f t="shared" si="13"/>
        <v>78000</v>
      </c>
      <c r="Q83" s="28" t="str">
        <f t="shared" si="18"/>
        <v>These lifting spikes will get the job done right with {HP} HP, {DP} DP, {fracture} fracture, and {normal} normal.</v>
      </c>
      <c r="R83" t="s">
        <v>532</v>
      </c>
    </row>
    <row r="84" spans="1:18" ht="12.75">
      <c r="A84" t="s">
        <v>615</v>
      </c>
      <c r="B84" s="22" t="s">
        <v>410</v>
      </c>
      <c r="C84" s="27">
        <v>40</v>
      </c>
      <c r="D84" s="18">
        <v>4</v>
      </c>
      <c r="E84">
        <v>1.4</v>
      </c>
      <c r="F84">
        <f t="shared" si="11"/>
        <v>450</v>
      </c>
      <c r="G84">
        <f t="shared" si="12"/>
        <v>8000</v>
      </c>
      <c r="H84">
        <v>0.6</v>
      </c>
      <c r="I84" s="18">
        <f t="shared" si="14"/>
        <v>378</v>
      </c>
      <c r="J84" s="18">
        <f t="shared" si="15"/>
        <v>13333</v>
      </c>
      <c r="K84" s="22">
        <v>0.5</v>
      </c>
      <c r="L84" s="34">
        <f t="shared" si="16"/>
        <v>0.95</v>
      </c>
      <c r="M84" s="36">
        <f t="shared" si="17"/>
        <v>1.89</v>
      </c>
      <c r="N84" s="20">
        <v>400</v>
      </c>
      <c r="O84">
        <f t="shared" si="13"/>
        <v>90000</v>
      </c>
      <c r="Q84" s="28" t="str">
        <f t="shared" si="18"/>
        <v>This toothless grinding disc doesn't do as much damage, but is tough and can eventually wear down your opponent. {HP} HP, {DP} DP, {fracture} fracture, and {normal} normal.</v>
      </c>
      <c r="R84" t="s">
        <v>533</v>
      </c>
    </row>
    <row r="85" spans="1:18" ht="12.75">
      <c r="A85" t="s">
        <v>616</v>
      </c>
      <c r="B85" s="22" t="s">
        <v>407</v>
      </c>
      <c r="C85" s="27">
        <v>28</v>
      </c>
      <c r="D85" s="18">
        <v>4</v>
      </c>
      <c r="E85">
        <v>1.4</v>
      </c>
      <c r="F85">
        <f t="shared" si="11"/>
        <v>390</v>
      </c>
      <c r="G85">
        <f t="shared" si="12"/>
        <v>5600</v>
      </c>
      <c r="H85">
        <v>1.1</v>
      </c>
      <c r="I85" s="18">
        <f t="shared" si="14"/>
        <v>601</v>
      </c>
      <c r="J85" s="18">
        <f t="shared" si="15"/>
        <v>5091</v>
      </c>
      <c r="K85" s="22">
        <v>0.5</v>
      </c>
      <c r="L85" s="34">
        <f t="shared" si="16"/>
        <v>1.5</v>
      </c>
      <c r="M85" s="36">
        <f t="shared" si="17"/>
        <v>3.01</v>
      </c>
      <c r="N85" s="20">
        <v>200</v>
      </c>
      <c r="O85">
        <f t="shared" si="13"/>
        <v>78000</v>
      </c>
      <c r="Q85" s="28" t="str">
        <f t="shared" si="18"/>
        <v>Pussycat's distinctive blade is powerful, but cannot be spun at excessive RPM's without wobbling. {HP} HP, {DP} DP, {fracture} fracture, and {normal} normal.</v>
      </c>
      <c r="R85" t="s">
        <v>534</v>
      </c>
    </row>
    <row r="86" spans="1:18" ht="12.75">
      <c r="A86" t="s">
        <v>617</v>
      </c>
      <c r="B86" s="22" t="s">
        <v>413</v>
      </c>
      <c r="C86" s="27">
        <v>30</v>
      </c>
      <c r="D86" s="18">
        <v>1</v>
      </c>
      <c r="E86">
        <v>2</v>
      </c>
      <c r="F86">
        <f t="shared" si="11"/>
        <v>400</v>
      </c>
      <c r="G86">
        <f t="shared" si="12"/>
        <v>6000</v>
      </c>
      <c r="H86">
        <v>1</v>
      </c>
      <c r="I86" s="18">
        <f t="shared" si="14"/>
        <v>800</v>
      </c>
      <c r="J86" s="18">
        <f t="shared" si="15"/>
        <v>6000</v>
      </c>
      <c r="K86" s="22">
        <v>1</v>
      </c>
      <c r="L86" s="34">
        <f t="shared" si="16"/>
        <v>4</v>
      </c>
      <c r="M86" s="36">
        <f t="shared" si="17"/>
        <v>0</v>
      </c>
      <c r="N86" s="20">
        <v>200</v>
      </c>
      <c r="O86">
        <f t="shared" si="13"/>
        <v>80000</v>
      </c>
      <c r="Q86" s="28" t="str">
        <f t="shared" si="18"/>
        <v>Robot X's long sai-shaped spike. {HP} HP, {DP} DP, {fracture} fracture, and {normal} normal.</v>
      </c>
      <c r="R86" s="28" t="s">
        <v>535</v>
      </c>
    </row>
    <row r="87" spans="1:18" ht="12.75">
      <c r="A87" t="s">
        <v>618</v>
      </c>
      <c r="B87" s="22" t="s">
        <v>408</v>
      </c>
      <c r="C87" s="27">
        <v>28</v>
      </c>
      <c r="D87" s="18">
        <v>4</v>
      </c>
      <c r="E87">
        <v>1.4</v>
      </c>
      <c r="F87">
        <f t="shared" si="11"/>
        <v>390</v>
      </c>
      <c r="G87">
        <f t="shared" si="12"/>
        <v>5600</v>
      </c>
      <c r="H87">
        <v>1</v>
      </c>
      <c r="I87" s="18">
        <f t="shared" si="14"/>
        <v>546</v>
      </c>
      <c r="J87" s="18">
        <f t="shared" si="15"/>
        <v>5600</v>
      </c>
      <c r="K87" s="22">
        <v>0.5</v>
      </c>
      <c r="L87" s="34">
        <f t="shared" si="16"/>
        <v>1.37</v>
      </c>
      <c r="M87" s="36">
        <f t="shared" si="17"/>
        <v>2.73</v>
      </c>
      <c r="N87" s="20">
        <v>200</v>
      </c>
      <c r="O87">
        <f t="shared" si="13"/>
        <v>78000</v>
      </c>
      <c r="Q87" s="28" t="str">
        <f t="shared" si="18"/>
        <v>Ronin's lethal disc is now in your hands with {HP} HP, {DP} DP, {fracture} fracture, and {normal} normal.</v>
      </c>
      <c r="R87" t="s">
        <v>536</v>
      </c>
    </row>
    <row r="88" spans="1:18" ht="12.75">
      <c r="A88" t="s">
        <v>619</v>
      </c>
      <c r="B88" s="22" t="s">
        <v>87</v>
      </c>
      <c r="C88" s="27">
        <v>24</v>
      </c>
      <c r="D88" s="18">
        <v>2</v>
      </c>
      <c r="E88">
        <v>1.4</v>
      </c>
      <c r="F88">
        <f t="shared" si="11"/>
        <v>370</v>
      </c>
      <c r="G88">
        <f t="shared" si="12"/>
        <v>4800</v>
      </c>
      <c r="H88">
        <v>1.2</v>
      </c>
      <c r="I88" s="18">
        <f t="shared" si="14"/>
        <v>622</v>
      </c>
      <c r="J88" s="18">
        <f t="shared" si="15"/>
        <v>4000</v>
      </c>
      <c r="K88" s="22">
        <v>0.9</v>
      </c>
      <c r="L88" s="34">
        <f t="shared" si="16"/>
        <v>2.8</v>
      </c>
      <c r="M88" s="36">
        <f t="shared" si="17"/>
        <v>0.62</v>
      </c>
      <c r="N88" s="20">
        <v>200</v>
      </c>
      <c r="O88">
        <f t="shared" si="13"/>
        <v>74000</v>
      </c>
      <c r="Q88" s="28" t="str">
        <f t="shared" si="18"/>
        <v>Study the way of the Bushido, my young warrior-friend. {HP} HP, {DP} DP, {fracture} fracture, and {normal} normal.</v>
      </c>
      <c r="R88" t="s">
        <v>537</v>
      </c>
    </row>
    <row r="89" spans="1:18" ht="12.75">
      <c r="A89" t="s">
        <v>620</v>
      </c>
      <c r="B89" s="22" t="s">
        <v>97</v>
      </c>
      <c r="C89" s="27">
        <v>18</v>
      </c>
      <c r="D89" s="18">
        <v>4</v>
      </c>
      <c r="E89">
        <v>1.4</v>
      </c>
      <c r="F89">
        <f t="shared" si="11"/>
        <v>340</v>
      </c>
      <c r="G89">
        <f t="shared" si="12"/>
        <v>3600</v>
      </c>
      <c r="H89">
        <v>1</v>
      </c>
      <c r="I89" s="18">
        <f t="shared" si="14"/>
        <v>476</v>
      </c>
      <c r="J89" s="18">
        <f t="shared" si="15"/>
        <v>3600</v>
      </c>
      <c r="K89" s="22">
        <v>0.9</v>
      </c>
      <c r="L89" s="34">
        <f t="shared" si="16"/>
        <v>2.14</v>
      </c>
      <c r="M89" s="36">
        <f t="shared" si="17"/>
        <v>0.48</v>
      </c>
      <c r="N89" s="20">
        <v>50</v>
      </c>
      <c r="O89">
        <f t="shared" si="13"/>
        <v>68000</v>
      </c>
      <c r="Q89" s="28" t="str">
        <f t="shared" si="18"/>
        <v>Fine carbide steel sawblade, available in a range of sizes for your cutting pleasure. {HP} HP, {DP} DP, {fracture} fracture, and {normal} normal.</v>
      </c>
      <c r="R89" t="s">
        <v>479</v>
      </c>
    </row>
    <row r="90" spans="1:18" ht="12.75">
      <c r="A90" t="s">
        <v>621</v>
      </c>
      <c r="B90" s="22" t="s">
        <v>98</v>
      </c>
      <c r="C90" s="27">
        <v>24</v>
      </c>
      <c r="D90" s="18">
        <v>4</v>
      </c>
      <c r="E90">
        <v>1.4</v>
      </c>
      <c r="F90">
        <f t="shared" si="11"/>
        <v>370</v>
      </c>
      <c r="G90">
        <f t="shared" si="12"/>
        <v>4800</v>
      </c>
      <c r="H90">
        <v>1</v>
      </c>
      <c r="I90" s="18">
        <f t="shared" si="14"/>
        <v>518</v>
      </c>
      <c r="J90" s="18">
        <f t="shared" si="15"/>
        <v>4800</v>
      </c>
      <c r="K90" s="22">
        <v>0.9</v>
      </c>
      <c r="L90" s="34">
        <f t="shared" si="16"/>
        <v>2.33</v>
      </c>
      <c r="M90" s="36">
        <f t="shared" si="17"/>
        <v>0.52</v>
      </c>
      <c r="N90" s="20">
        <v>50</v>
      </c>
      <c r="O90">
        <f t="shared" si="13"/>
        <v>74000</v>
      </c>
      <c r="Q90" s="28" t="str">
        <f t="shared" si="18"/>
        <v>Fine carbide steel sawblade, available in a range of sizes for your cutting pleasure. {HP} HP, {DP} DP, {fracture} fracture, and {normal} normal.</v>
      </c>
      <c r="R90" t="s">
        <v>479</v>
      </c>
    </row>
    <row r="91" spans="1:18" ht="12.75">
      <c r="A91" t="s">
        <v>622</v>
      </c>
      <c r="B91" s="22" t="s">
        <v>99</v>
      </c>
      <c r="C91" s="27">
        <v>30</v>
      </c>
      <c r="D91" s="18">
        <v>4</v>
      </c>
      <c r="E91">
        <v>1.4</v>
      </c>
      <c r="F91">
        <f t="shared" si="11"/>
        <v>400</v>
      </c>
      <c r="G91">
        <f t="shared" si="12"/>
        <v>6000</v>
      </c>
      <c r="H91">
        <v>1</v>
      </c>
      <c r="I91" s="18">
        <f t="shared" si="14"/>
        <v>560</v>
      </c>
      <c r="J91" s="18">
        <f t="shared" si="15"/>
        <v>6000</v>
      </c>
      <c r="K91" s="22">
        <v>0.9</v>
      </c>
      <c r="L91" s="34">
        <f t="shared" si="16"/>
        <v>2.52</v>
      </c>
      <c r="M91" s="36">
        <f t="shared" si="17"/>
        <v>0.56</v>
      </c>
      <c r="N91" s="20">
        <v>50</v>
      </c>
      <c r="O91">
        <f t="shared" si="13"/>
        <v>80000</v>
      </c>
      <c r="Q91" s="28" t="str">
        <f t="shared" si="18"/>
        <v>Fine carbide steel sawblade, available in a range of sizes for your cutting pleasure. {HP} HP, {DP} DP, {fracture} fracture, and {normal} normal.</v>
      </c>
      <c r="R91" t="s">
        <v>479</v>
      </c>
    </row>
    <row r="92" spans="1:18" ht="12.75">
      <c r="A92" t="s">
        <v>623</v>
      </c>
      <c r="B92" s="22" t="s">
        <v>100</v>
      </c>
      <c r="C92" s="27">
        <v>36</v>
      </c>
      <c r="D92" s="18">
        <v>4</v>
      </c>
      <c r="E92">
        <v>1.4</v>
      </c>
      <c r="F92">
        <f t="shared" si="11"/>
        <v>430</v>
      </c>
      <c r="G92">
        <f t="shared" si="12"/>
        <v>7200</v>
      </c>
      <c r="H92">
        <v>1</v>
      </c>
      <c r="I92" s="18">
        <f t="shared" si="14"/>
        <v>602</v>
      </c>
      <c r="J92" s="18">
        <f t="shared" si="15"/>
        <v>7200</v>
      </c>
      <c r="K92" s="22">
        <v>0.9</v>
      </c>
      <c r="L92" s="34">
        <f t="shared" si="16"/>
        <v>2.71</v>
      </c>
      <c r="M92" s="36">
        <f t="shared" si="17"/>
        <v>0.6</v>
      </c>
      <c r="N92" s="20">
        <v>50</v>
      </c>
      <c r="O92">
        <f t="shared" si="13"/>
        <v>86000</v>
      </c>
      <c r="Q92" s="28" t="str">
        <f t="shared" si="18"/>
        <v>Fine carbide steel sawblade, available in a range of sizes for your cutting pleasure. {HP} HP, {DP} DP, {fracture} fracture, and {normal} normal.</v>
      </c>
      <c r="R92" t="s">
        <v>479</v>
      </c>
    </row>
    <row r="93" spans="1:18" ht="12.75">
      <c r="A93" t="s">
        <v>624</v>
      </c>
      <c r="B93" s="22" t="s">
        <v>402</v>
      </c>
      <c r="C93" s="27">
        <v>28</v>
      </c>
      <c r="D93" s="18">
        <v>1.5</v>
      </c>
      <c r="E93">
        <v>2</v>
      </c>
      <c r="F93">
        <f t="shared" si="11"/>
        <v>390</v>
      </c>
      <c r="G93">
        <f t="shared" si="12"/>
        <v>5600</v>
      </c>
      <c r="H93">
        <v>0.8</v>
      </c>
      <c r="I93" s="18">
        <f t="shared" si="14"/>
        <v>624</v>
      </c>
      <c r="J93" s="18">
        <f t="shared" si="15"/>
        <v>7000</v>
      </c>
      <c r="K93" s="22">
        <v>0.5</v>
      </c>
      <c r="L93" s="34">
        <f t="shared" si="16"/>
        <v>1.56</v>
      </c>
      <c r="M93" s="36">
        <f t="shared" si="17"/>
        <v>3.12</v>
      </c>
      <c r="N93" s="20">
        <v>300</v>
      </c>
      <c r="O93">
        <f t="shared" si="13"/>
        <v>78000</v>
      </c>
      <c r="Q93" s="28" t="str">
        <f t="shared" si="18"/>
        <v>This menacing claw can kill a lot in many applications with {HP} HP, {DP} DP, {fracture} fracture, and {normal} normal.</v>
      </c>
      <c r="R93" t="s">
        <v>538</v>
      </c>
    </row>
    <row r="94" spans="1:18" ht="12.75">
      <c r="A94" t="s">
        <v>625</v>
      </c>
      <c r="B94" s="22" t="s">
        <v>412</v>
      </c>
      <c r="C94" s="27">
        <v>20</v>
      </c>
      <c r="D94" s="32" t="s">
        <v>466</v>
      </c>
      <c r="E94">
        <v>1</v>
      </c>
      <c r="F94">
        <f t="shared" si="11"/>
        <v>350</v>
      </c>
      <c r="G94">
        <f t="shared" si="12"/>
        <v>4000</v>
      </c>
      <c r="H94">
        <v>1</v>
      </c>
      <c r="I94" s="18">
        <f t="shared" si="14"/>
        <v>350</v>
      </c>
      <c r="J94" s="18">
        <f t="shared" si="15"/>
        <v>4000</v>
      </c>
      <c r="K94" s="22">
        <v>0.8</v>
      </c>
      <c r="L94" s="34">
        <f t="shared" si="16"/>
        <v>1.4</v>
      </c>
      <c r="M94" s="36">
        <f t="shared" si="17"/>
        <v>0.7</v>
      </c>
      <c r="N94" s="20">
        <v>50</v>
      </c>
      <c r="O94">
        <f t="shared" si="13"/>
        <v>70000</v>
      </c>
      <c r="Q94" s="28" t="str">
        <f t="shared" si="18"/>
        <v>This weapon is intended to be a drill but can easily be adapted for other uses too.  It has {HP} HP, {DP} DP, {fracture} fracture, and {normal} normal.</v>
      </c>
      <c r="R94" t="s">
        <v>539</v>
      </c>
    </row>
    <row r="95" spans="1:18" ht="12.75">
      <c r="A95" t="s">
        <v>626</v>
      </c>
      <c r="B95" s="22" t="s">
        <v>399</v>
      </c>
      <c r="C95" s="27">
        <v>7</v>
      </c>
      <c r="D95" s="18">
        <v>1</v>
      </c>
      <c r="E95">
        <v>2</v>
      </c>
      <c r="F95">
        <f t="shared" si="11"/>
        <v>285</v>
      </c>
      <c r="G95">
        <f t="shared" si="12"/>
        <v>1400</v>
      </c>
      <c r="H95">
        <v>1</v>
      </c>
      <c r="I95" s="18">
        <f t="shared" si="14"/>
        <v>570</v>
      </c>
      <c r="J95" s="18">
        <f t="shared" si="15"/>
        <v>1400</v>
      </c>
      <c r="K95" s="22">
        <v>0.3</v>
      </c>
      <c r="L95" s="34">
        <f t="shared" si="16"/>
        <v>0.86</v>
      </c>
      <c r="M95" s="36">
        <f t="shared" si="17"/>
        <v>3.99</v>
      </c>
      <c r="N95" s="20">
        <v>50</v>
      </c>
      <c r="O95">
        <f t="shared" si="13"/>
        <v>57000</v>
      </c>
      <c r="Q95" s="28" t="str">
        <f t="shared" si="18"/>
        <v>A small, lightweight axe to bring down the pain on your opponents micro-style. {HP} HP, {DP} DP, {fracture} fracture, and {normal} normal.</v>
      </c>
      <c r="R95" t="s">
        <v>540</v>
      </c>
    </row>
    <row r="96" spans="1:18" ht="12.75">
      <c r="A96" t="s">
        <v>627</v>
      </c>
      <c r="B96" s="22" t="s">
        <v>419</v>
      </c>
      <c r="C96" s="27">
        <v>25</v>
      </c>
      <c r="D96" s="18">
        <v>3</v>
      </c>
      <c r="E96">
        <v>1.4</v>
      </c>
      <c r="F96">
        <f t="shared" si="11"/>
        <v>375</v>
      </c>
      <c r="G96">
        <f t="shared" si="12"/>
        <v>5000</v>
      </c>
      <c r="H96">
        <v>0.8</v>
      </c>
      <c r="I96" s="18">
        <f t="shared" si="14"/>
        <v>420</v>
      </c>
      <c r="J96" s="18">
        <f t="shared" si="15"/>
        <v>6250</v>
      </c>
      <c r="K96" s="22">
        <v>0.3</v>
      </c>
      <c r="L96" s="34">
        <f t="shared" si="16"/>
        <v>0.63</v>
      </c>
      <c r="M96" s="36">
        <f t="shared" si="17"/>
        <v>2.94</v>
      </c>
      <c r="N96" s="20">
        <v>300</v>
      </c>
      <c r="O96">
        <f t="shared" si="13"/>
        <v>75000</v>
      </c>
      <c r="Q96" s="28" t="str">
        <f t="shared" si="18"/>
        <v>Tazbot's multi-purpose arm can be a weapon or a flipper. {HP} HP, {DP} DP, {fracture} fracture, and {normal} normal.</v>
      </c>
      <c r="R96" t="s">
        <v>541</v>
      </c>
    </row>
    <row r="97" spans="1:18" ht="12.75">
      <c r="A97" t="s">
        <v>628</v>
      </c>
      <c r="B97" s="22" t="s">
        <v>414</v>
      </c>
      <c r="C97" s="27">
        <v>9</v>
      </c>
      <c r="D97" s="18" t="s">
        <v>466</v>
      </c>
      <c r="E97">
        <v>1</v>
      </c>
      <c r="F97">
        <f t="shared" si="11"/>
        <v>295</v>
      </c>
      <c r="G97">
        <f t="shared" si="12"/>
        <v>1800</v>
      </c>
      <c r="H97">
        <v>0.75</v>
      </c>
      <c r="I97" s="18">
        <f t="shared" si="14"/>
        <v>221</v>
      </c>
      <c r="J97" s="18">
        <f t="shared" si="15"/>
        <v>2400</v>
      </c>
      <c r="K97" s="22">
        <v>0.8</v>
      </c>
      <c r="L97" s="34">
        <f t="shared" si="16"/>
        <v>0.88</v>
      </c>
      <c r="M97" s="36">
        <f t="shared" si="17"/>
        <v>0.44</v>
      </c>
      <c r="N97" s="20">
        <v>50</v>
      </c>
      <c r="O97">
        <f t="shared" si="13"/>
        <v>59000</v>
      </c>
      <c r="Q97" s="28" t="str">
        <f t="shared" si="18"/>
        <v>Here is Tornado's small convenient spike that can dish out the damage and take some of its own with {HP} HP, {DP} DP, {fracture} fracture, and {normal} normal.</v>
      </c>
      <c r="R97" t="s">
        <v>542</v>
      </c>
    </row>
    <row r="98" spans="1:18" ht="12.75">
      <c r="A98" t="s">
        <v>629</v>
      </c>
      <c r="B98" s="22" t="s">
        <v>425</v>
      </c>
      <c r="C98" s="27">
        <v>18</v>
      </c>
      <c r="D98" s="18">
        <v>4</v>
      </c>
      <c r="E98">
        <v>1.4</v>
      </c>
      <c r="F98">
        <f aca="true" t="shared" si="19" ref="F98:F110">(O98*C98)/G98</f>
        <v>340</v>
      </c>
      <c r="G98">
        <f aca="true" t="shared" si="20" ref="G98:G110">C98*200</f>
        <v>3600</v>
      </c>
      <c r="H98">
        <v>1</v>
      </c>
      <c r="I98" s="18">
        <f t="shared" si="14"/>
        <v>476</v>
      </c>
      <c r="J98" s="18">
        <f t="shared" si="15"/>
        <v>3600</v>
      </c>
      <c r="K98" s="22">
        <v>0.5</v>
      </c>
      <c r="L98" s="34">
        <f t="shared" si="16"/>
        <v>1.19</v>
      </c>
      <c r="M98" s="36">
        <f t="shared" si="17"/>
        <v>2.38</v>
      </c>
      <c r="N98" s="20">
        <v>200</v>
      </c>
      <c r="O98">
        <f aca="true" t="shared" si="21" ref="O98:O110">50000+(C98*1000)</f>
        <v>68000</v>
      </c>
      <c r="Q98" s="28" t="str">
        <f t="shared" si="18"/>
        <v>Tornado's small drum weapon, ready to plug and play with {HP} HP, {DP} DP, {fracture} fracture, and {normal} normal.</v>
      </c>
      <c r="R98" t="s">
        <v>543</v>
      </c>
    </row>
    <row r="99" spans="1:18" ht="12.75">
      <c r="A99" t="s">
        <v>630</v>
      </c>
      <c r="B99" s="22" t="s">
        <v>460</v>
      </c>
      <c r="C99" s="27">
        <v>4</v>
      </c>
      <c r="D99" s="18">
        <v>1</v>
      </c>
      <c r="E99">
        <v>2</v>
      </c>
      <c r="F99">
        <f t="shared" si="19"/>
        <v>270</v>
      </c>
      <c r="G99">
        <f t="shared" si="20"/>
        <v>800</v>
      </c>
      <c r="H99">
        <v>0.88889</v>
      </c>
      <c r="I99" s="18">
        <f t="shared" si="14"/>
        <v>480</v>
      </c>
      <c r="J99" s="18">
        <f t="shared" si="15"/>
        <v>900</v>
      </c>
      <c r="K99" s="22">
        <v>1</v>
      </c>
      <c r="L99" s="34">
        <f t="shared" si="16"/>
        <v>2.4</v>
      </c>
      <c r="M99" s="36">
        <f t="shared" si="17"/>
        <v>0</v>
      </c>
      <c r="N99" s="20">
        <v>50</v>
      </c>
      <c r="O99">
        <f t="shared" si="21"/>
        <v>54000</v>
      </c>
      <c r="Q99" s="28" t="str">
        <f t="shared" si="18"/>
        <v>This is the lightest, smallest spike available.  It has {HP} HP, {DP} DP, {fracture} fracture, and {normal} normal.</v>
      </c>
      <c r="R99" t="s">
        <v>544</v>
      </c>
    </row>
    <row r="100" spans="1:18" ht="12.75">
      <c r="A100" t="s">
        <v>631</v>
      </c>
      <c r="B100" s="22" t="s">
        <v>90</v>
      </c>
      <c r="C100" s="27">
        <v>20</v>
      </c>
      <c r="D100" s="18">
        <v>1.5</v>
      </c>
      <c r="E100">
        <v>2</v>
      </c>
      <c r="F100">
        <f t="shared" si="19"/>
        <v>350</v>
      </c>
      <c r="G100">
        <f t="shared" si="20"/>
        <v>4000</v>
      </c>
      <c r="H100">
        <v>1</v>
      </c>
      <c r="I100" s="18">
        <f t="shared" si="14"/>
        <v>700</v>
      </c>
      <c r="J100" s="18">
        <f t="shared" si="15"/>
        <v>4000</v>
      </c>
      <c r="K100" s="22">
        <v>0.5</v>
      </c>
      <c r="L100" s="34">
        <f t="shared" si="16"/>
        <v>1.75</v>
      </c>
      <c r="M100" s="36">
        <f t="shared" si="17"/>
        <v>3.5</v>
      </c>
      <c r="N100" s="20">
        <v>300</v>
      </c>
      <c r="O100">
        <f t="shared" si="21"/>
        <v>70000</v>
      </c>
      <c r="Q100" s="28" t="str">
        <f t="shared" si="18"/>
        <v>This huge tooth from Typhoon 2 is sure to cause damage. {HP} HP, {DP} DP, {fracture} fracture, and {normal} normal.</v>
      </c>
      <c r="R100" t="s">
        <v>545</v>
      </c>
    </row>
    <row r="101" spans="1:18" ht="12.75">
      <c r="A101" t="s">
        <v>632</v>
      </c>
      <c r="B101" s="22" t="s">
        <v>91</v>
      </c>
      <c r="C101" s="27">
        <v>10</v>
      </c>
      <c r="D101" s="18">
        <v>1.5</v>
      </c>
      <c r="E101">
        <v>2</v>
      </c>
      <c r="F101">
        <f t="shared" si="19"/>
        <v>300</v>
      </c>
      <c r="G101">
        <f t="shared" si="20"/>
        <v>2000</v>
      </c>
      <c r="H101">
        <v>1</v>
      </c>
      <c r="I101" s="18">
        <f t="shared" si="14"/>
        <v>600</v>
      </c>
      <c r="J101" s="18">
        <f t="shared" si="15"/>
        <v>2000</v>
      </c>
      <c r="K101" s="22">
        <v>0.5</v>
      </c>
      <c r="L101" s="34">
        <f t="shared" si="16"/>
        <v>1.5</v>
      </c>
      <c r="M101" s="36">
        <f t="shared" si="17"/>
        <v>3</v>
      </c>
      <c r="N101" s="20">
        <v>200</v>
      </c>
      <c r="O101">
        <f t="shared" si="21"/>
        <v>60000</v>
      </c>
      <c r="Q101" s="28" t="str">
        <f t="shared" si="18"/>
        <v>A smaller and more manageable tooth from Typhoon 2. {HP} HP, {DP} DP, {fracture} fracture, and {normal} normal.</v>
      </c>
      <c r="R101" t="s">
        <v>546</v>
      </c>
    </row>
    <row r="102" spans="1:18" ht="12.75">
      <c r="A102" t="s">
        <v>633</v>
      </c>
      <c r="B102" s="22" t="s">
        <v>363</v>
      </c>
      <c r="C102" s="27">
        <v>6</v>
      </c>
      <c r="D102" s="18">
        <v>1</v>
      </c>
      <c r="E102">
        <v>2</v>
      </c>
      <c r="F102">
        <f t="shared" si="19"/>
        <v>280</v>
      </c>
      <c r="G102">
        <f t="shared" si="20"/>
        <v>1200</v>
      </c>
      <c r="H102">
        <v>0.8</v>
      </c>
      <c r="I102" s="18">
        <f t="shared" si="14"/>
        <v>448</v>
      </c>
      <c r="J102" s="18">
        <f t="shared" si="15"/>
        <v>1500</v>
      </c>
      <c r="K102" s="22">
        <v>0.8</v>
      </c>
      <c r="L102" s="34">
        <f t="shared" si="16"/>
        <v>1.79</v>
      </c>
      <c r="M102" s="36">
        <f t="shared" si="17"/>
        <v>0.9</v>
      </c>
      <c r="N102" s="20">
        <v>50</v>
      </c>
      <c r="O102">
        <f t="shared" si="21"/>
        <v>56000</v>
      </c>
      <c r="Q102" s="28" t="str">
        <f t="shared" si="18"/>
        <v>A sharp chisel point to put on the ends of extenders.  Can be used as a weapon or just a means of getting under bots. {HP} HP, {DP} DP, {fracture} fracture, and {normal} normal.</v>
      </c>
      <c r="R102" t="s">
        <v>547</v>
      </c>
    </row>
    <row r="103" spans="1:18" ht="12.75">
      <c r="A103" t="s">
        <v>634</v>
      </c>
      <c r="B103" s="22" t="s">
        <v>364</v>
      </c>
      <c r="C103" s="27">
        <v>4</v>
      </c>
      <c r="D103" s="18">
        <v>1</v>
      </c>
      <c r="E103">
        <v>2</v>
      </c>
      <c r="F103">
        <f t="shared" si="19"/>
        <v>270</v>
      </c>
      <c r="G103">
        <f t="shared" si="20"/>
        <v>800</v>
      </c>
      <c r="H103">
        <v>0.8</v>
      </c>
      <c r="I103" s="18">
        <f t="shared" si="14"/>
        <v>432</v>
      </c>
      <c r="J103" s="18">
        <f t="shared" si="15"/>
        <v>1000</v>
      </c>
      <c r="K103" s="22">
        <v>0.8</v>
      </c>
      <c r="L103" s="34">
        <f t="shared" si="16"/>
        <v>1.73</v>
      </c>
      <c r="M103" s="36">
        <f t="shared" si="17"/>
        <v>0.86</v>
      </c>
      <c r="N103" s="20">
        <v>50</v>
      </c>
      <c r="O103">
        <f t="shared" si="21"/>
        <v>54000</v>
      </c>
      <c r="Q103" s="28" t="str">
        <f t="shared" si="18"/>
        <v>A sharp chisel point to put on the ends of extenders.  Can be used as a weapon or just a means of getting under bots. {HP} HP, {DP} DP, {fracture} fracture, and {normal} normal.</v>
      </c>
      <c r="R103" t="s">
        <v>547</v>
      </c>
    </row>
    <row r="104" spans="1:18" ht="12.75">
      <c r="A104" t="s">
        <v>635</v>
      </c>
      <c r="B104" s="22" t="s">
        <v>409</v>
      </c>
      <c r="C104" s="27">
        <v>25</v>
      </c>
      <c r="D104" s="18">
        <v>4</v>
      </c>
      <c r="E104">
        <v>1.4</v>
      </c>
      <c r="F104">
        <f t="shared" si="19"/>
        <v>375</v>
      </c>
      <c r="G104">
        <f t="shared" si="20"/>
        <v>5000</v>
      </c>
      <c r="H104">
        <v>0.8</v>
      </c>
      <c r="I104" s="18">
        <f t="shared" si="14"/>
        <v>420</v>
      </c>
      <c r="J104" s="18">
        <f t="shared" si="15"/>
        <v>6250</v>
      </c>
      <c r="K104" s="22">
        <v>0.5</v>
      </c>
      <c r="L104" s="34">
        <f t="shared" si="16"/>
        <v>1.05</v>
      </c>
      <c r="M104" s="36">
        <f t="shared" si="17"/>
        <v>2.1</v>
      </c>
      <c r="N104" s="20">
        <v>300</v>
      </c>
      <c r="O104">
        <f t="shared" si="21"/>
        <v>75000</v>
      </c>
      <c r="Q104" s="28" t="str">
        <f t="shared" si="18"/>
        <v>Whirl Wep's grinding disc is very tough but not as damaging with {HP} HP, {DP} DP, {fracture} fracture, and {normal} normal.</v>
      </c>
      <c r="R104" t="s">
        <v>548</v>
      </c>
    </row>
    <row r="105" spans="1:18" ht="12.75">
      <c r="A105" t="s">
        <v>636</v>
      </c>
      <c r="B105" s="22" t="s">
        <v>46</v>
      </c>
      <c r="C105" s="27">
        <v>26</v>
      </c>
      <c r="D105" s="32" t="s">
        <v>466</v>
      </c>
      <c r="E105">
        <v>1</v>
      </c>
      <c r="F105">
        <f t="shared" si="19"/>
        <v>380</v>
      </c>
      <c r="G105">
        <f t="shared" si="20"/>
        <v>5200</v>
      </c>
      <c r="H105">
        <v>0.8</v>
      </c>
      <c r="I105" s="18">
        <f t="shared" si="14"/>
        <v>304</v>
      </c>
      <c r="J105" s="18">
        <f t="shared" si="15"/>
        <v>6500</v>
      </c>
      <c r="K105" s="22">
        <v>0.2</v>
      </c>
      <c r="L105" s="34">
        <f t="shared" si="16"/>
        <v>0.3</v>
      </c>
      <c r="M105" s="36">
        <f t="shared" si="17"/>
        <v>2.43</v>
      </c>
      <c r="N105" s="20">
        <v>300</v>
      </c>
      <c r="O105">
        <f t="shared" si="21"/>
        <v>76000</v>
      </c>
      <c r="Q105" s="28" t="str">
        <f t="shared" si="18"/>
        <v>Classic meat tenderizer weapon as seen on Son of Whyachi and YU812. {HP} HP, {DP} DP, {fracture} fracture, and {normal} normal.</v>
      </c>
      <c r="R105" t="s">
        <v>549</v>
      </c>
    </row>
    <row r="106" spans="1:18" ht="12.75">
      <c r="A106" t="s">
        <v>463</v>
      </c>
      <c r="B106" s="22" t="s">
        <v>422</v>
      </c>
      <c r="C106" s="27">
        <v>18</v>
      </c>
      <c r="D106" s="18">
        <v>1</v>
      </c>
      <c r="E106">
        <v>2</v>
      </c>
      <c r="F106">
        <f t="shared" si="19"/>
        <v>340</v>
      </c>
      <c r="G106">
        <f t="shared" si="20"/>
        <v>3600</v>
      </c>
      <c r="H106">
        <v>0.6</v>
      </c>
      <c r="I106" s="18">
        <f t="shared" si="14"/>
        <v>408</v>
      </c>
      <c r="J106" s="18">
        <f t="shared" si="15"/>
        <v>6000</v>
      </c>
      <c r="K106" s="22">
        <v>0.6</v>
      </c>
      <c r="L106" s="34">
        <f t="shared" si="16"/>
        <v>1.22</v>
      </c>
      <c r="M106" s="36">
        <f t="shared" si="17"/>
        <v>1.63</v>
      </c>
      <c r="N106" s="20">
        <v>200</v>
      </c>
      <c r="O106">
        <f t="shared" si="21"/>
        <v>68000</v>
      </c>
      <c r="P106" s="24">
        <v>10</v>
      </c>
      <c r="Q106" s="28" t="str">
        <f t="shared" si="18"/>
        <v>Vlad the Impaler's spikes can serve dual purposes as lifting or impaling weapons with {HP} HP, {DP} DP, {fracture} fracture, and {normal} normal.</v>
      </c>
      <c r="R106" t="s">
        <v>490</v>
      </c>
    </row>
    <row r="107" spans="1:18" ht="12.75">
      <c r="A107" t="s">
        <v>459</v>
      </c>
      <c r="B107" s="22" t="s">
        <v>668</v>
      </c>
      <c r="C107" s="27">
        <v>30</v>
      </c>
      <c r="D107" s="18">
        <v>3</v>
      </c>
      <c r="E107">
        <v>1.4</v>
      </c>
      <c r="F107">
        <f t="shared" si="19"/>
        <v>400</v>
      </c>
      <c r="G107">
        <f t="shared" si="20"/>
        <v>6000</v>
      </c>
      <c r="H107">
        <v>1.2</v>
      </c>
      <c r="I107" s="18">
        <f t="shared" si="14"/>
        <v>672</v>
      </c>
      <c r="J107" s="18">
        <f t="shared" si="15"/>
        <v>5000</v>
      </c>
      <c r="K107" s="22">
        <v>0.9</v>
      </c>
      <c r="L107" s="34">
        <f t="shared" si="16"/>
        <v>3.02</v>
      </c>
      <c r="M107" s="36">
        <f t="shared" si="17"/>
        <v>0.67</v>
      </c>
      <c r="N107" s="20">
        <v>200</v>
      </c>
      <c r="O107">
        <f t="shared" si="21"/>
        <v>80000</v>
      </c>
      <c r="P107" s="24">
        <v>9</v>
      </c>
      <c r="Q107" s="28" t="str">
        <f t="shared" si="18"/>
        <v>This long spike has a sharp edge so it also works on spinners.  It has {HP} HP, {DP} DP, {fracture} fracture, and {normal} normal.</v>
      </c>
      <c r="R107" s="28" t="s">
        <v>491</v>
      </c>
    </row>
    <row r="108" spans="1:18" ht="12.75">
      <c r="A108" t="s">
        <v>655</v>
      </c>
      <c r="B108" s="22" t="s">
        <v>656</v>
      </c>
      <c r="C108" s="27">
        <v>45</v>
      </c>
      <c r="D108" s="18">
        <v>2</v>
      </c>
      <c r="E108">
        <v>1.4</v>
      </c>
      <c r="F108">
        <f t="shared" si="19"/>
        <v>475</v>
      </c>
      <c r="G108">
        <f t="shared" si="20"/>
        <v>9000</v>
      </c>
      <c r="H108">
        <v>1</v>
      </c>
      <c r="I108" s="18">
        <f t="shared" si="14"/>
        <v>665</v>
      </c>
      <c r="J108" s="18">
        <f t="shared" si="15"/>
        <v>9000</v>
      </c>
      <c r="K108" s="22">
        <v>0.5</v>
      </c>
      <c r="L108" s="34">
        <f t="shared" si="16"/>
        <v>1.66</v>
      </c>
      <c r="M108" s="36">
        <f t="shared" si="17"/>
        <v>3.33</v>
      </c>
      <c r="N108" s="20">
        <v>500</v>
      </c>
      <c r="O108">
        <f t="shared" si="21"/>
        <v>95000</v>
      </c>
      <c r="Q108" s="28" t="str">
        <f t="shared" si="18"/>
        <v>Heavy steel bar with sharpened ends.  Like the standard DSL bars, but it comes pre-assembled. {HP} HP, {DP} DP, {fracture} fracture, and {normal} normal.</v>
      </c>
      <c r="R108" s="28" t="s">
        <v>657</v>
      </c>
    </row>
    <row r="109" spans="1:18" ht="12.75">
      <c r="A109" t="s">
        <v>659</v>
      </c>
      <c r="B109" s="22" t="s">
        <v>660</v>
      </c>
      <c r="C109" s="27">
        <v>52</v>
      </c>
      <c r="D109" s="18">
        <v>4</v>
      </c>
      <c r="E109">
        <v>1.4</v>
      </c>
      <c r="F109">
        <f t="shared" si="19"/>
        <v>510</v>
      </c>
      <c r="G109">
        <f t="shared" si="20"/>
        <v>10400</v>
      </c>
      <c r="H109">
        <v>1.12</v>
      </c>
      <c r="I109" s="18">
        <f t="shared" si="14"/>
        <v>800</v>
      </c>
      <c r="J109" s="18">
        <f t="shared" si="15"/>
        <v>9286</v>
      </c>
      <c r="K109" s="22">
        <v>0.6</v>
      </c>
      <c r="L109" s="34">
        <f t="shared" si="16"/>
        <v>2.4</v>
      </c>
      <c r="M109" s="36">
        <f t="shared" si="17"/>
        <v>3.2</v>
      </c>
      <c r="N109" s="20">
        <v>300</v>
      </c>
      <c r="O109">
        <f t="shared" si="21"/>
        <v>102000</v>
      </c>
      <c r="Q109" s="28" t="str">
        <f t="shared" si="18"/>
        <v>MechaVore's deadly disc will really live up to its namesake if you spin it fast enough. {HP} HP, {DP} DP, {fracture} fracture, and {normal} normal.</v>
      </c>
      <c r="R109" t="s">
        <v>662</v>
      </c>
    </row>
    <row r="110" spans="1:18" ht="12.75">
      <c r="A110" t="s">
        <v>665</v>
      </c>
      <c r="B110" s="22" t="s">
        <v>666</v>
      </c>
      <c r="C110" s="27">
        <v>60</v>
      </c>
      <c r="D110" s="18">
        <v>1</v>
      </c>
      <c r="E110">
        <v>2</v>
      </c>
      <c r="F110">
        <f t="shared" si="19"/>
        <v>550</v>
      </c>
      <c r="G110">
        <f t="shared" si="20"/>
        <v>12000</v>
      </c>
      <c r="H110">
        <v>1</v>
      </c>
      <c r="I110" s="18">
        <f t="shared" si="14"/>
        <v>1100</v>
      </c>
      <c r="J110" s="18">
        <f t="shared" si="15"/>
        <v>12000</v>
      </c>
      <c r="K110" s="22">
        <v>0.8</v>
      </c>
      <c r="L110" s="34">
        <f t="shared" si="16"/>
        <v>4.4</v>
      </c>
      <c r="M110" s="36">
        <f t="shared" si="17"/>
        <v>2.2</v>
      </c>
      <c r="N110" s="20">
        <v>200</v>
      </c>
      <c r="O110">
        <f t="shared" si="21"/>
        <v>110000</v>
      </c>
      <c r="Q110" s="28" t="str">
        <f t="shared" si="18"/>
        <v>There is no bigger spike in the history of the sport than Vladiator's impaling spear.  It also has extra teeth for catching bots. {HP} HP, {DP} DP, {fracture} fracture, and {normal} normal.</v>
      </c>
      <c r="R110" t="s">
        <v>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0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s="23" t="s">
        <v>431</v>
      </c>
    </row>
    <row r="2" ht="12.75">
      <c r="A2" t="s">
        <v>432</v>
      </c>
    </row>
    <row r="3" ht="12.75">
      <c r="A3" t="s">
        <v>433</v>
      </c>
    </row>
    <row r="4" ht="12.75">
      <c r="A4" t="s">
        <v>434</v>
      </c>
    </row>
    <row r="5" ht="12.75">
      <c r="A5" t="s">
        <v>435</v>
      </c>
    </row>
    <row r="6" ht="12.75">
      <c r="A6" t="s">
        <v>436</v>
      </c>
    </row>
    <row r="7" ht="12.75">
      <c r="A7" t="s">
        <v>437</v>
      </c>
    </row>
    <row r="8" ht="12.75">
      <c r="A8" t="s">
        <v>438</v>
      </c>
    </row>
    <row r="9" ht="12.75">
      <c r="A9" s="18" t="str">
        <f>"description = "&amp;'New Weapons'!Q11&amp;" "&amp;ROUND('New Weapons'!J11,0)&amp;" HP, "&amp;ROUND('New Weapons'!I11,0)&amp;" DP, and "&amp;'New Weapons'!D11&amp;" normal."</f>
        <v>description = This jagged metal strip can be mounted on its bottom side or rear tip.  It has {HP} HP, {DP} DP, {fracture} fracture, and {normal} normal. 2000 HP, 521 DP, and 2 normal.</v>
      </c>
    </row>
    <row r="10" ht="12.75">
      <c r="A10" t="s">
        <v>439</v>
      </c>
    </row>
    <row r="11" ht="12.75">
      <c r="A11" s="18" t="str">
        <f>"hitpoints = "&amp;ROUND('New Weapons'!J11,0)</f>
        <v>hitpoints = 2000</v>
      </c>
    </row>
    <row r="12" ht="12.75">
      <c r="A12" t="s">
        <v>440</v>
      </c>
    </row>
    <row r="13" ht="12.75">
      <c r="A13" t="s">
        <v>441</v>
      </c>
    </row>
    <row r="14" ht="12.75">
      <c r="A14" t="s">
        <v>442</v>
      </c>
    </row>
    <row r="15" ht="12.75">
      <c r="A15" s="36" t="str">
        <f>"concussion = "&amp;ROUND('New Weapons'!M11,2)</f>
        <v>concussion = 0</v>
      </c>
    </row>
    <row r="16" ht="12.75">
      <c r="A16" s="34" t="str">
        <f>"piercing = "&amp;ROUND('New Weapons'!L11,2)</f>
        <v>piercing = 2.61</v>
      </c>
    </row>
    <row r="17" ht="12.75">
      <c r="A17" t="s">
        <v>443</v>
      </c>
    </row>
    <row r="18" ht="12.75">
      <c r="A18" s="27" t="str">
        <f>"mass = "&amp;'New Weapons'!C11</f>
        <v>mass = 12</v>
      </c>
    </row>
    <row r="19" ht="12.75">
      <c r="A19" s="38" t="str">
        <f>"sort = "&amp;'New Weapons'!P11</f>
        <v>sort = 1</v>
      </c>
    </row>
    <row r="20" ht="12.75">
      <c r="A20" s="20" t="str">
        <f>"fracture = "&amp;'New Weapons'!N11</f>
        <v>fracture = 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5"/>
  <sheetViews>
    <sheetView zoomScalePageLayoutView="0" workbookViewId="0" topLeftCell="A1">
      <selection activeCell="A16" sqref="A16"/>
    </sheetView>
  </sheetViews>
  <sheetFormatPr defaultColWidth="9.140625" defaultRowHeight="12.75"/>
  <cols>
    <col min="8" max="8" width="12.421875" style="0" bestFit="1" customWidth="1"/>
    <col min="15" max="15" width="12.00390625" style="0" bestFit="1" customWidth="1"/>
  </cols>
  <sheetData>
    <row r="1" spans="1:13" ht="13.5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13</v>
      </c>
      <c r="K1" t="s">
        <v>14</v>
      </c>
      <c r="L1" t="s">
        <v>8</v>
      </c>
      <c r="M1" t="s">
        <v>11</v>
      </c>
    </row>
    <row r="2" spans="1:15" ht="13.5" thickBot="1">
      <c r="A2" s="2" t="s">
        <v>10</v>
      </c>
      <c r="B2" s="2">
        <v>30</v>
      </c>
      <c r="C2" s="2">
        <v>0</v>
      </c>
      <c r="D2" s="2">
        <v>50</v>
      </c>
      <c r="E2" s="2">
        <v>90</v>
      </c>
      <c r="F2" s="2">
        <v>5</v>
      </c>
      <c r="G2" s="2">
        <v>35</v>
      </c>
      <c r="H2" s="2">
        <v>500</v>
      </c>
      <c r="I2" s="2">
        <f>((1-(J2/2000))^0.5)*K2</f>
        <v>3000</v>
      </c>
      <c r="J2" s="2">
        <v>0</v>
      </c>
      <c r="K2" s="2">
        <v>3000</v>
      </c>
      <c r="L2" s="2">
        <v>1</v>
      </c>
      <c r="M2" s="3">
        <f>((D2*E2)+(F2*G2))/(H2*B2)</f>
        <v>0.31166666666666665</v>
      </c>
      <c r="N2" s="1">
        <v>0.062</v>
      </c>
      <c r="O2" s="21">
        <v>150</v>
      </c>
    </row>
    <row r="3" spans="1:12" ht="12.75">
      <c r="A3" t="s">
        <v>12</v>
      </c>
      <c r="B3">
        <v>35</v>
      </c>
      <c r="C3">
        <v>35</v>
      </c>
      <c r="D3">
        <v>20</v>
      </c>
      <c r="E3">
        <v>120</v>
      </c>
      <c r="F3">
        <v>10</v>
      </c>
      <c r="G3">
        <v>35</v>
      </c>
      <c r="H3">
        <v>1200</v>
      </c>
      <c r="I3">
        <f aca="true" t="shared" si="0" ref="I3:I13">ROUND((B3*H3)/((D3*E3)+(F3*G3))*bursthp,0)</f>
        <v>2291</v>
      </c>
      <c r="J3">
        <v>0</v>
      </c>
      <c r="K3">
        <v>1000</v>
      </c>
      <c r="L3">
        <v>0.9</v>
      </c>
    </row>
    <row r="4" spans="1:12" ht="12.75">
      <c r="A4" t="s">
        <v>15</v>
      </c>
      <c r="B4">
        <v>40</v>
      </c>
      <c r="C4">
        <v>40</v>
      </c>
      <c r="D4">
        <v>20</v>
      </c>
      <c r="E4">
        <v>150</v>
      </c>
      <c r="F4">
        <v>10</v>
      </c>
      <c r="G4">
        <v>40</v>
      </c>
      <c r="H4">
        <v>1600</v>
      </c>
      <c r="I4">
        <f t="shared" si="0"/>
        <v>2824</v>
      </c>
      <c r="J4">
        <v>0</v>
      </c>
      <c r="K4">
        <v>1200</v>
      </c>
      <c r="L4">
        <v>0.9</v>
      </c>
    </row>
    <row r="5" spans="1:12" ht="12.75">
      <c r="A5" t="s">
        <v>16</v>
      </c>
      <c r="B5">
        <v>45</v>
      </c>
      <c r="C5">
        <v>45</v>
      </c>
      <c r="D5">
        <v>20</v>
      </c>
      <c r="E5">
        <v>180</v>
      </c>
      <c r="F5">
        <v>10</v>
      </c>
      <c r="G5">
        <v>45</v>
      </c>
      <c r="H5">
        <v>2000</v>
      </c>
      <c r="I5">
        <f t="shared" si="0"/>
        <v>3333</v>
      </c>
      <c r="J5">
        <v>0</v>
      </c>
      <c r="K5">
        <v>1400</v>
      </c>
      <c r="L5">
        <v>1</v>
      </c>
    </row>
    <row r="6" spans="1:12" ht="12.75">
      <c r="A6" t="s">
        <v>17</v>
      </c>
      <c r="B6">
        <v>55</v>
      </c>
      <c r="C6">
        <v>55</v>
      </c>
      <c r="D6">
        <v>20</v>
      </c>
      <c r="E6">
        <v>240</v>
      </c>
      <c r="F6">
        <v>10</v>
      </c>
      <c r="G6">
        <v>55</v>
      </c>
      <c r="H6">
        <v>2400</v>
      </c>
      <c r="I6">
        <f t="shared" si="0"/>
        <v>3701</v>
      </c>
      <c r="J6">
        <v>0</v>
      </c>
      <c r="K6">
        <v>1800</v>
      </c>
      <c r="L6">
        <v>1.1</v>
      </c>
    </row>
    <row r="7" spans="1:12" ht="12.75">
      <c r="A7" t="s">
        <v>18</v>
      </c>
      <c r="B7">
        <v>65</v>
      </c>
      <c r="C7">
        <v>65</v>
      </c>
      <c r="D7">
        <v>20</v>
      </c>
      <c r="E7">
        <v>300</v>
      </c>
      <c r="F7">
        <v>10</v>
      </c>
      <c r="G7">
        <v>65</v>
      </c>
      <c r="H7">
        <v>2800</v>
      </c>
      <c r="I7">
        <f t="shared" si="0"/>
        <v>4105</v>
      </c>
      <c r="J7">
        <v>0</v>
      </c>
      <c r="K7">
        <v>2200</v>
      </c>
      <c r="L7">
        <v>1.1</v>
      </c>
    </row>
    <row r="8" spans="1:12" ht="12.75">
      <c r="A8" t="s">
        <v>19</v>
      </c>
      <c r="B8">
        <v>45</v>
      </c>
      <c r="C8">
        <v>100</v>
      </c>
      <c r="D8">
        <v>10</v>
      </c>
      <c r="E8">
        <v>100</v>
      </c>
      <c r="F8">
        <v>5</v>
      </c>
      <c r="G8">
        <v>60</v>
      </c>
      <c r="H8">
        <v>800</v>
      </c>
      <c r="I8">
        <f t="shared" si="0"/>
        <v>4154</v>
      </c>
      <c r="J8">
        <v>150</v>
      </c>
      <c r="K8">
        <v>4100</v>
      </c>
      <c r="L8">
        <v>1</v>
      </c>
    </row>
    <row r="9" spans="1:12" ht="12.75">
      <c r="A9" t="s">
        <v>20</v>
      </c>
      <c r="B9">
        <v>55</v>
      </c>
      <c r="C9">
        <v>100</v>
      </c>
      <c r="D9">
        <v>12</v>
      </c>
      <c r="E9">
        <v>120</v>
      </c>
      <c r="F9">
        <v>6</v>
      </c>
      <c r="G9">
        <v>90</v>
      </c>
      <c r="H9">
        <v>1000</v>
      </c>
      <c r="I9">
        <f t="shared" si="0"/>
        <v>4167</v>
      </c>
      <c r="J9">
        <v>150</v>
      </c>
      <c r="K9">
        <v>5200</v>
      </c>
      <c r="L9">
        <v>1.1</v>
      </c>
    </row>
    <row r="10" spans="1:12" ht="12.75">
      <c r="A10" t="s">
        <v>21</v>
      </c>
      <c r="B10">
        <v>25</v>
      </c>
      <c r="C10">
        <v>50</v>
      </c>
      <c r="D10">
        <v>8</v>
      </c>
      <c r="E10">
        <v>60</v>
      </c>
      <c r="F10">
        <v>4</v>
      </c>
      <c r="G10">
        <v>35</v>
      </c>
      <c r="H10">
        <v>400</v>
      </c>
      <c r="I10">
        <f t="shared" si="0"/>
        <v>2419</v>
      </c>
      <c r="J10">
        <v>100</v>
      </c>
      <c r="K10">
        <v>2500</v>
      </c>
      <c r="L10">
        <v>0.9</v>
      </c>
    </row>
    <row r="11" spans="1:12" ht="12.75">
      <c r="A11" t="s">
        <v>22</v>
      </c>
      <c r="B11">
        <v>80</v>
      </c>
      <c r="C11">
        <v>100</v>
      </c>
      <c r="D11">
        <v>15</v>
      </c>
      <c r="E11">
        <v>325</v>
      </c>
      <c r="F11">
        <v>4</v>
      </c>
      <c r="G11">
        <v>250</v>
      </c>
      <c r="H11">
        <v>2800</v>
      </c>
      <c r="I11">
        <f t="shared" si="0"/>
        <v>5719</v>
      </c>
      <c r="J11">
        <v>0</v>
      </c>
      <c r="K11">
        <v>7000</v>
      </c>
      <c r="L11">
        <v>1.2</v>
      </c>
    </row>
    <row r="12" spans="1:12" ht="12.75">
      <c r="A12" t="s">
        <v>23</v>
      </c>
      <c r="B12">
        <v>30</v>
      </c>
      <c r="C12">
        <v>0</v>
      </c>
      <c r="D12">
        <v>5</v>
      </c>
      <c r="E12">
        <v>250</v>
      </c>
      <c r="F12">
        <v>3</v>
      </c>
      <c r="G12">
        <v>150</v>
      </c>
      <c r="H12">
        <v>600</v>
      </c>
      <c r="I12">
        <f t="shared" si="0"/>
        <v>1588</v>
      </c>
      <c r="J12">
        <v>0</v>
      </c>
      <c r="K12">
        <v>1050</v>
      </c>
      <c r="L12">
        <v>0.9</v>
      </c>
    </row>
    <row r="13" spans="1:12" ht="12.75">
      <c r="A13" t="s">
        <v>24</v>
      </c>
      <c r="B13">
        <v>30</v>
      </c>
      <c r="C13">
        <v>30</v>
      </c>
      <c r="D13">
        <v>11</v>
      </c>
      <c r="E13">
        <v>75</v>
      </c>
      <c r="F13">
        <v>4</v>
      </c>
      <c r="G13">
        <v>40</v>
      </c>
      <c r="H13">
        <v>600</v>
      </c>
      <c r="I13">
        <f t="shared" si="0"/>
        <v>2741</v>
      </c>
      <c r="J13">
        <v>100</v>
      </c>
      <c r="K13">
        <v>2500</v>
      </c>
      <c r="L13">
        <v>0.9</v>
      </c>
    </row>
    <row r="14" spans="1:12" ht="12.75">
      <c r="A14" t="s">
        <v>654</v>
      </c>
      <c r="B14">
        <v>40</v>
      </c>
      <c r="C14">
        <v>35</v>
      </c>
      <c r="D14">
        <v>20</v>
      </c>
      <c r="E14">
        <v>120</v>
      </c>
      <c r="F14">
        <v>10</v>
      </c>
      <c r="G14">
        <v>35</v>
      </c>
      <c r="H14">
        <v>1200</v>
      </c>
      <c r="I14">
        <f>ROUND((B14*H14)/((D14*E14)+(F14*G14))*bursthp,0)</f>
        <v>2618</v>
      </c>
      <c r="J14">
        <v>0</v>
      </c>
      <c r="K14">
        <v>1000</v>
      </c>
      <c r="L14">
        <v>0.9</v>
      </c>
    </row>
    <row r="15" spans="1:12" ht="12.75">
      <c r="A15" t="s">
        <v>653</v>
      </c>
      <c r="B15">
        <v>50</v>
      </c>
      <c r="C15">
        <v>50</v>
      </c>
      <c r="D15">
        <v>20</v>
      </c>
      <c r="E15">
        <v>200</v>
      </c>
      <c r="F15">
        <v>10</v>
      </c>
      <c r="G15">
        <v>50</v>
      </c>
      <c r="H15">
        <v>2400</v>
      </c>
      <c r="I15">
        <f>ROUND((B15*H15)/((D15*E15)+(F15*G15))*bursthp,0)</f>
        <v>4000</v>
      </c>
      <c r="J15">
        <v>0</v>
      </c>
      <c r="K15">
        <v>1000</v>
      </c>
      <c r="L15">
        <v>0.9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7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11.00390625" style="0" bestFit="1" customWidth="1"/>
  </cols>
  <sheetData>
    <row r="1" spans="1:8" ht="13.5" thickBot="1">
      <c r="A1" s="2" t="s">
        <v>0</v>
      </c>
      <c r="B1" s="2" t="s">
        <v>1</v>
      </c>
      <c r="C1" s="2" t="s">
        <v>25</v>
      </c>
      <c r="D1" s="2" t="s">
        <v>7</v>
      </c>
      <c r="E1" s="2" t="s">
        <v>26</v>
      </c>
      <c r="F1" s="2" t="s">
        <v>11</v>
      </c>
      <c r="G1" s="3">
        <f>(((C2-3000)*D2)^0.5)/((B2^1.2)*E2)</f>
        <v>52.789678857466825</v>
      </c>
      <c r="H1" s="4">
        <v>65</v>
      </c>
    </row>
    <row r="2" spans="1:5" ht="12.75">
      <c r="A2" t="s">
        <v>28</v>
      </c>
      <c r="B2">
        <v>10</v>
      </c>
      <c r="C2">
        <v>10000</v>
      </c>
      <c r="D2">
        <v>100</v>
      </c>
      <c r="E2">
        <v>1</v>
      </c>
    </row>
    <row r="3" spans="1:5" ht="12.75">
      <c r="A3" t="s">
        <v>27</v>
      </c>
      <c r="B3">
        <v>6</v>
      </c>
      <c r="C3">
        <f>3000+(($H$1*((B3^1.2)*E3))^2)/D3</f>
        <v>5522.7530103747085</v>
      </c>
      <c r="D3">
        <v>100</v>
      </c>
      <c r="E3">
        <v>0.9</v>
      </c>
    </row>
    <row r="4" spans="1:5" ht="12.75">
      <c r="A4" t="s">
        <v>29</v>
      </c>
      <c r="B4">
        <v>15</v>
      </c>
      <c r="C4">
        <f>3000+(($H$1*((B4^1.2)*E4))^2)/D4</f>
        <v>17041.572263482765</v>
      </c>
      <c r="D4">
        <v>200</v>
      </c>
      <c r="E4">
        <v>1</v>
      </c>
    </row>
    <row r="5" spans="1:5" ht="12.75">
      <c r="A5" t="s">
        <v>30</v>
      </c>
      <c r="B5">
        <v>20</v>
      </c>
      <c r="C5">
        <f>3000+(($H$1*((B5^1.2)*E5))^2)/D5</f>
        <v>25405.709157218298</v>
      </c>
      <c r="D5">
        <v>250</v>
      </c>
      <c r="E5">
        <v>1</v>
      </c>
    </row>
    <row r="6" spans="1:5" ht="12.75">
      <c r="A6" t="s">
        <v>31</v>
      </c>
      <c r="B6">
        <v>30</v>
      </c>
      <c r="C6">
        <f>3000+(($H$1*((B6^1.2)*E6))^2)/D6</f>
        <v>32891.78463258569</v>
      </c>
      <c r="D6">
        <v>600</v>
      </c>
      <c r="E6">
        <v>1.1</v>
      </c>
    </row>
    <row r="7" spans="1:5" ht="12.75">
      <c r="A7" t="s">
        <v>32</v>
      </c>
      <c r="B7">
        <v>35</v>
      </c>
      <c r="C7">
        <f>3000+(($H$1*((B7^1.2)*E7))^2)/D7</f>
        <v>35455.283198340956</v>
      </c>
      <c r="D7">
        <v>800</v>
      </c>
      <c r="E7">
        <v>1.1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76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6.421875" style="0" customWidth="1"/>
    <col min="7" max="7" width="9.140625" style="18" customWidth="1"/>
    <col min="8" max="8" width="9.140625" style="20" customWidth="1"/>
    <col min="11" max="11" width="11.140625" style="0" customWidth="1"/>
  </cols>
  <sheetData>
    <row r="1" spans="1:13" ht="13.5" thickBot="1">
      <c r="A1" s="5" t="s">
        <v>0</v>
      </c>
      <c r="B1" s="6" t="s">
        <v>1</v>
      </c>
      <c r="C1" s="6" t="s">
        <v>353</v>
      </c>
      <c r="D1" s="6" t="s">
        <v>356</v>
      </c>
      <c r="E1" s="6" t="s">
        <v>357</v>
      </c>
      <c r="F1" s="6" t="s">
        <v>355</v>
      </c>
      <c r="G1" s="17" t="s">
        <v>354</v>
      </c>
      <c r="H1" s="19" t="s">
        <v>9</v>
      </c>
      <c r="I1" s="4">
        <v>150</v>
      </c>
      <c r="J1" s="8" t="s">
        <v>94</v>
      </c>
      <c r="K1" s="9" t="s">
        <v>95</v>
      </c>
      <c r="L1" s="10" t="s">
        <v>13</v>
      </c>
      <c r="M1" s="21" t="s">
        <v>11</v>
      </c>
    </row>
    <row r="2" spans="1:13" ht="12.75">
      <c r="A2" s="7" t="s">
        <v>33</v>
      </c>
      <c r="B2">
        <v>7</v>
      </c>
      <c r="C2">
        <v>1.5</v>
      </c>
      <c r="D2">
        <f aca="true" t="shared" si="0" ref="D2:D65">200+(5.25*(B2-4))</f>
        <v>215.75</v>
      </c>
      <c r="E2">
        <v>215</v>
      </c>
      <c r="F2">
        <f>E2/D2</f>
        <v>0.996523754345307</v>
      </c>
      <c r="G2" s="18">
        <f>D2*C2*F2</f>
        <v>322.5</v>
      </c>
      <c r="H2" s="20">
        <f aca="true" t="shared" si="1" ref="H2:H33">(weff*(B2+2))/F2</f>
        <v>1354.7093023255813</v>
      </c>
      <c r="I2">
        <f>H2/B2</f>
        <v>193.5299003322259</v>
      </c>
      <c r="J2">
        <f>G2/283.9</f>
        <v>1.1359633673828813</v>
      </c>
      <c r="K2">
        <f>G2/283.9</f>
        <v>1.1359633673828813</v>
      </c>
      <c r="L2">
        <v>0</v>
      </c>
      <c r="M2">
        <f>(E2*H2)/B2</f>
        <v>41608.92857142857</v>
      </c>
    </row>
    <row r="3" spans="1:13" ht="12.75">
      <c r="A3" s="7" t="s">
        <v>39</v>
      </c>
      <c r="B3">
        <v>13</v>
      </c>
      <c r="C3">
        <v>2</v>
      </c>
      <c r="D3">
        <f t="shared" si="0"/>
        <v>247.25</v>
      </c>
      <c r="E3">
        <v>250</v>
      </c>
      <c r="F3">
        <f aca="true" t="shared" si="2" ref="F3:F66">E3/D3</f>
        <v>1.0111223458038423</v>
      </c>
      <c r="G3" s="18">
        <f aca="true" t="shared" si="3" ref="G3:G66">D3*C3*F3</f>
        <v>500</v>
      </c>
      <c r="H3" s="20">
        <f t="shared" si="1"/>
        <v>2225.25</v>
      </c>
      <c r="I3">
        <f aca="true" t="shared" si="4" ref="I3:I66">H3/B3</f>
        <v>171.17307692307693</v>
      </c>
      <c r="J3">
        <f aca="true" t="shared" si="5" ref="J3:J66">G3/283.9</f>
        <v>1.7611835153222968</v>
      </c>
      <c r="K3">
        <f aca="true" t="shared" si="6" ref="K3:K66">G3/283.9</f>
        <v>1.7611835153222968</v>
      </c>
      <c r="L3">
        <v>0</v>
      </c>
      <c r="M3">
        <f aca="true" t="shared" si="7" ref="M3:M66">(E3*H3)/B3</f>
        <v>42793.269230769234</v>
      </c>
    </row>
    <row r="4" spans="1:13" ht="12.75">
      <c r="A4" s="7" t="s">
        <v>36</v>
      </c>
      <c r="B4">
        <v>52</v>
      </c>
      <c r="C4">
        <v>2</v>
      </c>
      <c r="D4">
        <f t="shared" si="0"/>
        <v>452</v>
      </c>
      <c r="E4">
        <v>450</v>
      </c>
      <c r="F4">
        <f t="shared" si="2"/>
        <v>0.995575221238938</v>
      </c>
      <c r="G4" s="18">
        <f t="shared" si="3"/>
        <v>900</v>
      </c>
      <c r="H4" s="20">
        <f t="shared" si="1"/>
        <v>8136</v>
      </c>
      <c r="I4">
        <f t="shared" si="4"/>
        <v>156.46153846153845</v>
      </c>
      <c r="J4">
        <f t="shared" si="5"/>
        <v>3.170130327580134</v>
      </c>
      <c r="K4">
        <f t="shared" si="6"/>
        <v>3.170130327580134</v>
      </c>
      <c r="L4">
        <v>300</v>
      </c>
      <c r="M4">
        <f t="shared" si="7"/>
        <v>70407.69230769231</v>
      </c>
    </row>
    <row r="5" spans="1:13" ht="12.75">
      <c r="A5" s="7" t="s">
        <v>86</v>
      </c>
      <c r="B5">
        <v>10</v>
      </c>
      <c r="C5">
        <v>1.5</v>
      </c>
      <c r="D5">
        <f t="shared" si="0"/>
        <v>231.5</v>
      </c>
      <c r="E5">
        <v>235</v>
      </c>
      <c r="F5">
        <f t="shared" si="2"/>
        <v>1.0151187904967602</v>
      </c>
      <c r="G5" s="18">
        <f t="shared" si="3"/>
        <v>352.5</v>
      </c>
      <c r="H5" s="20">
        <f t="shared" si="1"/>
        <v>1773.1914893617022</v>
      </c>
      <c r="I5">
        <f t="shared" si="4"/>
        <v>177.31914893617022</v>
      </c>
      <c r="J5">
        <f t="shared" si="5"/>
        <v>1.2416343783022192</v>
      </c>
      <c r="K5">
        <f t="shared" si="6"/>
        <v>1.2416343783022192</v>
      </c>
      <c r="L5">
        <v>0</v>
      </c>
      <c r="M5">
        <f t="shared" si="7"/>
        <v>41670</v>
      </c>
    </row>
    <row r="6" spans="1:13" ht="12.75">
      <c r="A6" s="7" t="s">
        <v>77</v>
      </c>
      <c r="B6">
        <v>10</v>
      </c>
      <c r="C6">
        <v>1</v>
      </c>
      <c r="D6">
        <f t="shared" si="0"/>
        <v>231.5</v>
      </c>
      <c r="E6">
        <v>200</v>
      </c>
      <c r="F6">
        <f t="shared" si="2"/>
        <v>0.8639308855291576</v>
      </c>
      <c r="G6" s="18">
        <f t="shared" si="3"/>
        <v>200</v>
      </c>
      <c r="H6" s="20">
        <f t="shared" si="1"/>
        <v>2083.5</v>
      </c>
      <c r="I6">
        <f t="shared" si="4"/>
        <v>208.35</v>
      </c>
      <c r="J6">
        <f t="shared" si="5"/>
        <v>0.7044734061289187</v>
      </c>
      <c r="K6">
        <f t="shared" si="6"/>
        <v>0.7044734061289187</v>
      </c>
      <c r="L6">
        <v>0</v>
      </c>
      <c r="M6">
        <f t="shared" si="7"/>
        <v>41670</v>
      </c>
    </row>
    <row r="7" spans="1:13" ht="12.75">
      <c r="A7" s="7" t="s">
        <v>76</v>
      </c>
      <c r="B7">
        <v>7.5</v>
      </c>
      <c r="C7">
        <v>1</v>
      </c>
      <c r="D7">
        <f t="shared" si="0"/>
        <v>218.375</v>
      </c>
      <c r="E7">
        <v>200</v>
      </c>
      <c r="F7">
        <f t="shared" si="2"/>
        <v>0.9158557527189468</v>
      </c>
      <c r="G7" s="18">
        <f t="shared" si="3"/>
        <v>200</v>
      </c>
      <c r="H7" s="20">
        <f t="shared" si="1"/>
        <v>1555.921875</v>
      </c>
      <c r="I7">
        <f t="shared" si="4"/>
        <v>207.45625</v>
      </c>
      <c r="J7">
        <f t="shared" si="5"/>
        <v>0.7044734061289187</v>
      </c>
      <c r="K7">
        <f t="shared" si="6"/>
        <v>0.7044734061289187</v>
      </c>
      <c r="L7">
        <v>0</v>
      </c>
      <c r="M7">
        <f t="shared" si="7"/>
        <v>41491.25</v>
      </c>
    </row>
    <row r="8" spans="1:13" ht="12.75">
      <c r="A8" s="7" t="s">
        <v>75</v>
      </c>
      <c r="B8">
        <v>5</v>
      </c>
      <c r="C8">
        <v>1</v>
      </c>
      <c r="D8">
        <f t="shared" si="0"/>
        <v>205.25</v>
      </c>
      <c r="E8">
        <v>200</v>
      </c>
      <c r="F8">
        <f t="shared" si="2"/>
        <v>0.97442143727162</v>
      </c>
      <c r="G8" s="18">
        <f t="shared" si="3"/>
        <v>200</v>
      </c>
      <c r="H8" s="20">
        <f t="shared" si="1"/>
        <v>1077.5625</v>
      </c>
      <c r="I8">
        <f t="shared" si="4"/>
        <v>215.5125</v>
      </c>
      <c r="J8">
        <f t="shared" si="5"/>
        <v>0.7044734061289187</v>
      </c>
      <c r="K8">
        <f t="shared" si="6"/>
        <v>0.7044734061289187</v>
      </c>
      <c r="L8">
        <v>0</v>
      </c>
      <c r="M8">
        <f t="shared" si="7"/>
        <v>43102.5</v>
      </c>
    </row>
    <row r="9" spans="1:13" ht="12.75">
      <c r="A9" s="7" t="s">
        <v>93</v>
      </c>
      <c r="B9">
        <v>4</v>
      </c>
      <c r="C9">
        <v>2</v>
      </c>
      <c r="D9">
        <f t="shared" si="0"/>
        <v>200</v>
      </c>
      <c r="E9">
        <v>200</v>
      </c>
      <c r="F9">
        <f t="shared" si="2"/>
        <v>1</v>
      </c>
      <c r="G9" s="18">
        <f t="shared" si="3"/>
        <v>400</v>
      </c>
      <c r="H9" s="20">
        <f t="shared" si="1"/>
        <v>900</v>
      </c>
      <c r="I9">
        <f t="shared" si="4"/>
        <v>225</v>
      </c>
      <c r="J9">
        <f t="shared" si="5"/>
        <v>1.4089468122578375</v>
      </c>
      <c r="K9">
        <f t="shared" si="6"/>
        <v>1.4089468122578375</v>
      </c>
      <c r="L9">
        <v>0</v>
      </c>
      <c r="M9">
        <f t="shared" si="7"/>
        <v>45000</v>
      </c>
    </row>
    <row r="10" spans="1:13" ht="12.75">
      <c r="A10" s="7" t="s">
        <v>78</v>
      </c>
      <c r="B10">
        <v>35</v>
      </c>
      <c r="C10">
        <v>1.5</v>
      </c>
      <c r="D10">
        <f t="shared" si="0"/>
        <v>362.75</v>
      </c>
      <c r="E10">
        <v>250</v>
      </c>
      <c r="F10">
        <f t="shared" si="2"/>
        <v>0.6891798759476223</v>
      </c>
      <c r="G10" s="18">
        <f t="shared" si="3"/>
        <v>375</v>
      </c>
      <c r="H10" s="20">
        <f t="shared" si="1"/>
        <v>8053.05</v>
      </c>
      <c r="I10">
        <f t="shared" si="4"/>
        <v>230.08714285714285</v>
      </c>
      <c r="J10">
        <f t="shared" si="5"/>
        <v>1.3208876364917226</v>
      </c>
      <c r="K10">
        <f t="shared" si="6"/>
        <v>1.3208876364917226</v>
      </c>
      <c r="L10">
        <v>300</v>
      </c>
      <c r="M10">
        <f t="shared" si="7"/>
        <v>57521.78571428572</v>
      </c>
    </row>
    <row r="11" spans="1:13" ht="12.75">
      <c r="A11" s="7" t="s">
        <v>80</v>
      </c>
      <c r="B11">
        <v>7</v>
      </c>
      <c r="C11">
        <v>2</v>
      </c>
      <c r="D11">
        <f t="shared" si="0"/>
        <v>215.75</v>
      </c>
      <c r="E11">
        <v>225</v>
      </c>
      <c r="F11">
        <f t="shared" si="2"/>
        <v>1.0428736964078795</v>
      </c>
      <c r="G11" s="18">
        <f t="shared" si="3"/>
        <v>450</v>
      </c>
      <c r="H11" s="20">
        <f t="shared" si="1"/>
        <v>1294.5</v>
      </c>
      <c r="I11">
        <f t="shared" si="4"/>
        <v>184.92857142857142</v>
      </c>
      <c r="J11">
        <f t="shared" si="5"/>
        <v>1.585065163790067</v>
      </c>
      <c r="K11">
        <f t="shared" si="6"/>
        <v>1.585065163790067</v>
      </c>
      <c r="L11">
        <v>0</v>
      </c>
      <c r="M11">
        <f t="shared" si="7"/>
        <v>41608.92857142857</v>
      </c>
    </row>
    <row r="12" spans="1:13" ht="12.75">
      <c r="A12" s="7" t="s">
        <v>82</v>
      </c>
      <c r="B12">
        <v>12</v>
      </c>
      <c r="C12">
        <v>2</v>
      </c>
      <c r="D12">
        <f t="shared" si="0"/>
        <v>242</v>
      </c>
      <c r="E12">
        <v>242</v>
      </c>
      <c r="F12">
        <f t="shared" si="2"/>
        <v>1</v>
      </c>
      <c r="G12" s="18">
        <f t="shared" si="3"/>
        <v>484</v>
      </c>
      <c r="H12" s="20">
        <f t="shared" si="1"/>
        <v>2100</v>
      </c>
      <c r="I12">
        <f t="shared" si="4"/>
        <v>175</v>
      </c>
      <c r="J12">
        <f t="shared" si="5"/>
        <v>1.7048256428319832</v>
      </c>
      <c r="K12">
        <f t="shared" si="6"/>
        <v>1.7048256428319832</v>
      </c>
      <c r="L12">
        <v>0</v>
      </c>
      <c r="M12">
        <f t="shared" si="7"/>
        <v>42350</v>
      </c>
    </row>
    <row r="13" spans="1:13" ht="12.75">
      <c r="A13" s="7" t="s">
        <v>83</v>
      </c>
      <c r="B13">
        <v>5</v>
      </c>
      <c r="C13">
        <v>1.5</v>
      </c>
      <c r="D13">
        <f t="shared" si="0"/>
        <v>205.25</v>
      </c>
      <c r="E13">
        <v>210</v>
      </c>
      <c r="F13">
        <f t="shared" si="2"/>
        <v>1.0231425091352009</v>
      </c>
      <c r="G13" s="18">
        <f t="shared" si="3"/>
        <v>315</v>
      </c>
      <c r="H13" s="20">
        <f t="shared" si="1"/>
        <v>1026.25</v>
      </c>
      <c r="I13">
        <f t="shared" si="4"/>
        <v>205.25</v>
      </c>
      <c r="J13">
        <f t="shared" si="5"/>
        <v>1.109545614653047</v>
      </c>
      <c r="K13">
        <f t="shared" si="6"/>
        <v>1.109545614653047</v>
      </c>
      <c r="L13">
        <v>0</v>
      </c>
      <c r="M13">
        <f t="shared" si="7"/>
        <v>43102.5</v>
      </c>
    </row>
    <row r="14" spans="1:14" ht="12.75">
      <c r="A14" s="7" t="s">
        <v>57</v>
      </c>
      <c r="B14">
        <v>10</v>
      </c>
      <c r="C14">
        <v>1.5</v>
      </c>
      <c r="D14">
        <f aca="true" t="shared" si="8" ref="D14:D31">200+(5.25*(B14-4))</f>
        <v>231.5</v>
      </c>
      <c r="E14">
        <f aca="true" t="shared" si="9" ref="E14:E31">D14*F14</f>
        <v>185.20000000000002</v>
      </c>
      <c r="F14">
        <v>0.8</v>
      </c>
      <c r="G14" s="18">
        <f aca="true" t="shared" si="10" ref="G14:G31">D14*C14*F14</f>
        <v>277.8</v>
      </c>
      <c r="H14" s="20">
        <f t="shared" si="1"/>
        <v>2250</v>
      </c>
      <c r="I14">
        <f aca="true" t="shared" si="11" ref="I14:I31">H14/B14</f>
        <v>225</v>
      </c>
      <c r="J14">
        <f aca="true" t="shared" si="12" ref="J14:J31">G14/283.9</f>
        <v>0.9785135611130681</v>
      </c>
      <c r="K14">
        <f aca="true" t="shared" si="13" ref="K14:K31">G14/283.9</f>
        <v>0.9785135611130681</v>
      </c>
      <c r="L14">
        <v>300</v>
      </c>
      <c r="M14">
        <f aca="true" t="shared" si="14" ref="M14:M31">(E14*H14)/B14</f>
        <v>41670.00000000001</v>
      </c>
      <c r="N14">
        <v>1</v>
      </c>
    </row>
    <row r="15" spans="1:14" ht="12.75">
      <c r="A15" s="7" t="s">
        <v>58</v>
      </c>
      <c r="B15">
        <v>20</v>
      </c>
      <c r="C15">
        <v>1.5</v>
      </c>
      <c r="D15">
        <f t="shared" si="8"/>
        <v>284</v>
      </c>
      <c r="E15">
        <f t="shared" si="9"/>
        <v>227.20000000000002</v>
      </c>
      <c r="F15">
        <v>0.8</v>
      </c>
      <c r="G15" s="18">
        <f t="shared" si="10"/>
        <v>340.8</v>
      </c>
      <c r="H15" s="20">
        <f t="shared" si="1"/>
        <v>4125</v>
      </c>
      <c r="I15">
        <f t="shared" si="11"/>
        <v>206.25</v>
      </c>
      <c r="J15">
        <f t="shared" si="12"/>
        <v>1.2004226840436776</v>
      </c>
      <c r="K15">
        <f t="shared" si="13"/>
        <v>1.2004226840436776</v>
      </c>
      <c r="L15">
        <v>300</v>
      </c>
      <c r="M15">
        <f t="shared" si="14"/>
        <v>46860.00000000001</v>
      </c>
      <c r="N15">
        <v>2</v>
      </c>
    </row>
    <row r="16" spans="1:14" ht="12.75">
      <c r="A16" s="7" t="s">
        <v>59</v>
      </c>
      <c r="B16">
        <v>30</v>
      </c>
      <c r="C16">
        <v>1.5</v>
      </c>
      <c r="D16">
        <f t="shared" si="8"/>
        <v>336.5</v>
      </c>
      <c r="E16">
        <f t="shared" si="9"/>
        <v>269.2</v>
      </c>
      <c r="F16">
        <v>0.8</v>
      </c>
      <c r="G16" s="18">
        <f t="shared" si="10"/>
        <v>403.8</v>
      </c>
      <c r="H16" s="20">
        <f t="shared" si="1"/>
        <v>6000</v>
      </c>
      <c r="I16">
        <f t="shared" si="11"/>
        <v>200</v>
      </c>
      <c r="J16">
        <f t="shared" si="12"/>
        <v>1.422331806974287</v>
      </c>
      <c r="K16">
        <f t="shared" si="13"/>
        <v>1.422331806974287</v>
      </c>
      <c r="L16">
        <v>300</v>
      </c>
      <c r="M16">
        <f t="shared" si="14"/>
        <v>53840</v>
      </c>
      <c r="N16">
        <v>3</v>
      </c>
    </row>
    <row r="17" spans="1:14" ht="12.75">
      <c r="A17" s="7" t="s">
        <v>60</v>
      </c>
      <c r="B17">
        <v>40</v>
      </c>
      <c r="C17">
        <v>1.5</v>
      </c>
      <c r="D17">
        <f t="shared" si="8"/>
        <v>389</v>
      </c>
      <c r="E17">
        <f t="shared" si="9"/>
        <v>311.20000000000005</v>
      </c>
      <c r="F17">
        <v>0.8</v>
      </c>
      <c r="G17" s="18">
        <f t="shared" si="10"/>
        <v>466.8</v>
      </c>
      <c r="H17" s="20">
        <f t="shared" si="1"/>
        <v>7875</v>
      </c>
      <c r="I17">
        <f t="shared" si="11"/>
        <v>196.875</v>
      </c>
      <c r="J17">
        <f t="shared" si="12"/>
        <v>1.6442409299048963</v>
      </c>
      <c r="K17">
        <f t="shared" si="13"/>
        <v>1.6442409299048963</v>
      </c>
      <c r="L17">
        <v>300</v>
      </c>
      <c r="M17">
        <f t="shared" si="14"/>
        <v>61267.500000000015</v>
      </c>
      <c r="N17">
        <v>4</v>
      </c>
    </row>
    <row r="18" spans="1:14" ht="12.75">
      <c r="A18" s="7" t="s">
        <v>61</v>
      </c>
      <c r="B18">
        <v>50</v>
      </c>
      <c r="C18">
        <v>1.5</v>
      </c>
      <c r="D18">
        <f t="shared" si="8"/>
        <v>441.5</v>
      </c>
      <c r="E18">
        <f t="shared" si="9"/>
        <v>353.20000000000005</v>
      </c>
      <c r="F18">
        <v>0.8</v>
      </c>
      <c r="G18" s="18">
        <f t="shared" si="10"/>
        <v>529.8000000000001</v>
      </c>
      <c r="H18" s="20">
        <f t="shared" si="1"/>
        <v>9750</v>
      </c>
      <c r="I18">
        <f t="shared" si="11"/>
        <v>195</v>
      </c>
      <c r="J18">
        <f t="shared" si="12"/>
        <v>1.866150052835506</v>
      </c>
      <c r="K18">
        <f t="shared" si="13"/>
        <v>1.866150052835506</v>
      </c>
      <c r="L18">
        <v>300</v>
      </c>
      <c r="M18">
        <f t="shared" si="14"/>
        <v>68874.00000000001</v>
      </c>
      <c r="N18">
        <v>5</v>
      </c>
    </row>
    <row r="19" spans="1:14" ht="12.75">
      <c r="A19" s="7" t="s">
        <v>62</v>
      </c>
      <c r="B19">
        <v>15</v>
      </c>
      <c r="C19">
        <v>1.5</v>
      </c>
      <c r="D19">
        <f t="shared" si="8"/>
        <v>257.75</v>
      </c>
      <c r="E19">
        <f t="shared" si="9"/>
        <v>231.975</v>
      </c>
      <c r="F19">
        <v>0.9</v>
      </c>
      <c r="G19" s="18">
        <f t="shared" si="10"/>
        <v>347.96250000000003</v>
      </c>
      <c r="H19" s="20">
        <f t="shared" si="1"/>
        <v>2833.3333333333335</v>
      </c>
      <c r="I19">
        <f t="shared" si="11"/>
        <v>188.88888888888889</v>
      </c>
      <c r="J19">
        <f t="shared" si="12"/>
        <v>1.2256516379006694</v>
      </c>
      <c r="K19">
        <f t="shared" si="13"/>
        <v>1.2256516379006694</v>
      </c>
      <c r="L19">
        <v>300</v>
      </c>
      <c r="M19">
        <f t="shared" si="14"/>
        <v>43817.5</v>
      </c>
      <c r="N19">
        <v>6</v>
      </c>
    </row>
    <row r="20" spans="1:14" ht="12.75">
      <c r="A20" s="7" t="s">
        <v>63</v>
      </c>
      <c r="B20">
        <v>30</v>
      </c>
      <c r="C20">
        <v>1.5</v>
      </c>
      <c r="D20">
        <f t="shared" si="8"/>
        <v>336.5</v>
      </c>
      <c r="E20">
        <f t="shared" si="9"/>
        <v>269.2</v>
      </c>
      <c r="F20">
        <v>0.8</v>
      </c>
      <c r="G20" s="18">
        <f t="shared" si="10"/>
        <v>403.8</v>
      </c>
      <c r="H20" s="20">
        <f t="shared" si="1"/>
        <v>6000</v>
      </c>
      <c r="I20">
        <f t="shared" si="11"/>
        <v>200</v>
      </c>
      <c r="J20">
        <f t="shared" si="12"/>
        <v>1.422331806974287</v>
      </c>
      <c r="K20">
        <f t="shared" si="13"/>
        <v>1.422331806974287</v>
      </c>
      <c r="L20">
        <v>300</v>
      </c>
      <c r="M20">
        <f t="shared" si="14"/>
        <v>53840</v>
      </c>
      <c r="N20">
        <v>7</v>
      </c>
    </row>
    <row r="21" spans="1:14" ht="12.75">
      <c r="A21" s="7" t="s">
        <v>64</v>
      </c>
      <c r="B21">
        <v>45</v>
      </c>
      <c r="C21">
        <v>1.5</v>
      </c>
      <c r="D21">
        <f t="shared" si="8"/>
        <v>415.25</v>
      </c>
      <c r="E21">
        <f t="shared" si="9"/>
        <v>332.20000000000005</v>
      </c>
      <c r="F21">
        <v>0.8</v>
      </c>
      <c r="G21" s="18">
        <f t="shared" si="10"/>
        <v>498.3</v>
      </c>
      <c r="H21" s="20">
        <f t="shared" si="1"/>
        <v>8812.5</v>
      </c>
      <c r="I21">
        <f t="shared" si="11"/>
        <v>195.83333333333334</v>
      </c>
      <c r="J21">
        <f t="shared" si="12"/>
        <v>1.755195491370201</v>
      </c>
      <c r="K21">
        <f t="shared" si="13"/>
        <v>1.755195491370201</v>
      </c>
      <c r="L21">
        <v>300</v>
      </c>
      <c r="M21">
        <f t="shared" si="14"/>
        <v>65055.83333333334</v>
      </c>
      <c r="N21">
        <v>8</v>
      </c>
    </row>
    <row r="22" spans="1:14" ht="12.75">
      <c r="A22" s="7" t="s">
        <v>65</v>
      </c>
      <c r="B22">
        <v>60</v>
      </c>
      <c r="C22">
        <v>1.5</v>
      </c>
      <c r="D22">
        <f t="shared" si="8"/>
        <v>494</v>
      </c>
      <c r="E22">
        <f t="shared" si="9"/>
        <v>395.20000000000005</v>
      </c>
      <c r="F22">
        <v>0.8</v>
      </c>
      <c r="G22" s="18">
        <f t="shared" si="10"/>
        <v>592.8000000000001</v>
      </c>
      <c r="H22" s="20">
        <f t="shared" si="1"/>
        <v>11625</v>
      </c>
      <c r="I22">
        <f t="shared" si="11"/>
        <v>193.75</v>
      </c>
      <c r="J22">
        <f t="shared" si="12"/>
        <v>2.0880591757661153</v>
      </c>
      <c r="K22">
        <f t="shared" si="13"/>
        <v>2.0880591757661153</v>
      </c>
      <c r="L22">
        <v>300</v>
      </c>
      <c r="M22">
        <f t="shared" si="14"/>
        <v>76570.00000000001</v>
      </c>
      <c r="N22">
        <v>9</v>
      </c>
    </row>
    <row r="23" spans="1:14" ht="12.75">
      <c r="A23" s="7" t="s">
        <v>66</v>
      </c>
      <c r="B23">
        <v>75</v>
      </c>
      <c r="C23">
        <v>1.5</v>
      </c>
      <c r="D23">
        <f t="shared" si="8"/>
        <v>572.75</v>
      </c>
      <c r="E23">
        <f t="shared" si="9"/>
        <v>458.20000000000005</v>
      </c>
      <c r="F23">
        <v>0.8</v>
      </c>
      <c r="G23" s="18">
        <f t="shared" si="10"/>
        <v>687.3000000000001</v>
      </c>
      <c r="H23" s="20">
        <f t="shared" si="1"/>
        <v>14437.5</v>
      </c>
      <c r="I23">
        <f t="shared" si="11"/>
        <v>192.5</v>
      </c>
      <c r="J23">
        <f t="shared" si="12"/>
        <v>2.420922860162029</v>
      </c>
      <c r="K23">
        <f t="shared" si="13"/>
        <v>2.420922860162029</v>
      </c>
      <c r="L23">
        <v>300</v>
      </c>
      <c r="M23">
        <f t="shared" si="14"/>
        <v>88203.50000000001</v>
      </c>
      <c r="N23">
        <v>10</v>
      </c>
    </row>
    <row r="24" spans="1:14" ht="12.75">
      <c r="A24" s="7" t="s">
        <v>67</v>
      </c>
      <c r="B24">
        <v>20</v>
      </c>
      <c r="C24">
        <v>1.5</v>
      </c>
      <c r="D24">
        <f t="shared" si="8"/>
        <v>284</v>
      </c>
      <c r="E24">
        <f t="shared" si="9"/>
        <v>227.20000000000002</v>
      </c>
      <c r="F24">
        <v>0.8</v>
      </c>
      <c r="G24" s="18">
        <f t="shared" si="10"/>
        <v>340.8</v>
      </c>
      <c r="H24" s="20">
        <f t="shared" si="1"/>
        <v>4125</v>
      </c>
      <c r="I24">
        <f t="shared" si="11"/>
        <v>206.25</v>
      </c>
      <c r="J24">
        <f t="shared" si="12"/>
        <v>1.2004226840436776</v>
      </c>
      <c r="K24">
        <f t="shared" si="13"/>
        <v>1.2004226840436776</v>
      </c>
      <c r="L24">
        <v>300</v>
      </c>
      <c r="M24">
        <f t="shared" si="14"/>
        <v>46860.00000000001</v>
      </c>
      <c r="N24">
        <v>11</v>
      </c>
    </row>
    <row r="25" spans="1:14" ht="12.75">
      <c r="A25" s="7" t="s">
        <v>68</v>
      </c>
      <c r="B25">
        <v>40</v>
      </c>
      <c r="C25">
        <v>1.5</v>
      </c>
      <c r="D25">
        <f t="shared" si="8"/>
        <v>389</v>
      </c>
      <c r="E25">
        <f t="shared" si="9"/>
        <v>311.20000000000005</v>
      </c>
      <c r="F25">
        <v>0.8</v>
      </c>
      <c r="G25" s="18">
        <f t="shared" si="10"/>
        <v>466.8</v>
      </c>
      <c r="H25" s="20">
        <f t="shared" si="1"/>
        <v>7875</v>
      </c>
      <c r="I25">
        <f t="shared" si="11"/>
        <v>196.875</v>
      </c>
      <c r="J25">
        <f t="shared" si="12"/>
        <v>1.6442409299048963</v>
      </c>
      <c r="K25">
        <f t="shared" si="13"/>
        <v>1.6442409299048963</v>
      </c>
      <c r="L25">
        <v>300</v>
      </c>
      <c r="M25">
        <f t="shared" si="14"/>
        <v>61267.500000000015</v>
      </c>
      <c r="N25">
        <v>12</v>
      </c>
    </row>
    <row r="26" spans="1:14" ht="12.75">
      <c r="A26" s="7" t="s">
        <v>69</v>
      </c>
      <c r="B26">
        <v>60</v>
      </c>
      <c r="C26">
        <v>1.5</v>
      </c>
      <c r="D26">
        <f t="shared" si="8"/>
        <v>494</v>
      </c>
      <c r="E26">
        <f t="shared" si="9"/>
        <v>395.20000000000005</v>
      </c>
      <c r="F26">
        <v>0.8</v>
      </c>
      <c r="G26" s="18">
        <f t="shared" si="10"/>
        <v>592.8000000000001</v>
      </c>
      <c r="H26" s="20">
        <f t="shared" si="1"/>
        <v>11625</v>
      </c>
      <c r="I26">
        <f t="shared" si="11"/>
        <v>193.75</v>
      </c>
      <c r="J26">
        <f t="shared" si="12"/>
        <v>2.0880591757661153</v>
      </c>
      <c r="K26">
        <f t="shared" si="13"/>
        <v>2.0880591757661153</v>
      </c>
      <c r="L26">
        <v>300</v>
      </c>
      <c r="M26">
        <f t="shared" si="14"/>
        <v>76570.00000000001</v>
      </c>
      <c r="N26">
        <v>13</v>
      </c>
    </row>
    <row r="27" spans="1:14" ht="12.75">
      <c r="A27" s="7" t="s">
        <v>70</v>
      </c>
      <c r="B27">
        <v>80</v>
      </c>
      <c r="C27">
        <v>1.5</v>
      </c>
      <c r="D27">
        <f t="shared" si="8"/>
        <v>599</v>
      </c>
      <c r="E27">
        <f t="shared" si="9"/>
        <v>479.20000000000005</v>
      </c>
      <c r="F27">
        <v>0.8</v>
      </c>
      <c r="G27" s="18">
        <f t="shared" si="10"/>
        <v>718.8000000000001</v>
      </c>
      <c r="H27" s="20">
        <f t="shared" si="1"/>
        <v>15375</v>
      </c>
      <c r="I27">
        <f t="shared" si="11"/>
        <v>192.1875</v>
      </c>
      <c r="J27">
        <f t="shared" si="12"/>
        <v>2.531877421627334</v>
      </c>
      <c r="K27">
        <f t="shared" si="13"/>
        <v>2.531877421627334</v>
      </c>
      <c r="L27">
        <v>300</v>
      </c>
      <c r="M27">
        <f t="shared" si="14"/>
        <v>92096.25000000001</v>
      </c>
      <c r="N27">
        <v>14</v>
      </c>
    </row>
    <row r="28" spans="1:14" ht="12.75">
      <c r="A28" s="7" t="s">
        <v>71</v>
      </c>
      <c r="B28">
        <v>100</v>
      </c>
      <c r="C28">
        <v>1.5</v>
      </c>
      <c r="D28">
        <f t="shared" si="8"/>
        <v>704</v>
      </c>
      <c r="E28">
        <f t="shared" si="9"/>
        <v>563.2</v>
      </c>
      <c r="F28">
        <v>0.8</v>
      </c>
      <c r="G28" s="18">
        <f t="shared" si="10"/>
        <v>844.8000000000001</v>
      </c>
      <c r="H28" s="20">
        <f t="shared" si="1"/>
        <v>19125</v>
      </c>
      <c r="I28">
        <f t="shared" si="11"/>
        <v>191.25</v>
      </c>
      <c r="J28">
        <f t="shared" si="12"/>
        <v>2.975695667488553</v>
      </c>
      <c r="K28">
        <f t="shared" si="13"/>
        <v>2.975695667488553</v>
      </c>
      <c r="L28">
        <v>300</v>
      </c>
      <c r="M28">
        <f t="shared" si="14"/>
        <v>107712</v>
      </c>
      <c r="N28">
        <v>15</v>
      </c>
    </row>
    <row r="29" spans="1:14" ht="12.75">
      <c r="A29" s="7" t="s">
        <v>72</v>
      </c>
      <c r="B29">
        <v>12.5</v>
      </c>
      <c r="C29">
        <v>1.5</v>
      </c>
      <c r="D29">
        <f t="shared" si="8"/>
        <v>244.625</v>
      </c>
      <c r="E29">
        <f t="shared" si="9"/>
        <v>220.1625</v>
      </c>
      <c r="F29">
        <v>0.9</v>
      </c>
      <c r="G29" s="18">
        <f t="shared" si="10"/>
        <v>330.24375000000003</v>
      </c>
      <c r="H29" s="20">
        <f t="shared" si="1"/>
        <v>2416.6666666666665</v>
      </c>
      <c r="I29">
        <f t="shared" si="11"/>
        <v>193.33333333333331</v>
      </c>
      <c r="J29">
        <f t="shared" si="12"/>
        <v>1.1632396970764356</v>
      </c>
      <c r="K29">
        <f t="shared" si="13"/>
        <v>1.1632396970764356</v>
      </c>
      <c r="L29">
        <v>300</v>
      </c>
      <c r="M29">
        <f t="shared" si="14"/>
        <v>42564.75</v>
      </c>
      <c r="N29">
        <v>16</v>
      </c>
    </row>
    <row r="30" spans="1:14" ht="12.75">
      <c r="A30" s="7" t="s">
        <v>74</v>
      </c>
      <c r="B30">
        <v>15</v>
      </c>
      <c r="C30">
        <v>1.5</v>
      </c>
      <c r="D30">
        <f t="shared" si="8"/>
        <v>257.75</v>
      </c>
      <c r="E30">
        <f t="shared" si="9"/>
        <v>257.75</v>
      </c>
      <c r="F30">
        <v>1</v>
      </c>
      <c r="G30" s="18">
        <f t="shared" si="10"/>
        <v>386.625</v>
      </c>
      <c r="H30" s="20">
        <f t="shared" si="1"/>
        <v>2550</v>
      </c>
      <c r="I30">
        <f t="shared" si="11"/>
        <v>170</v>
      </c>
      <c r="J30">
        <f t="shared" si="12"/>
        <v>1.361835153222966</v>
      </c>
      <c r="K30">
        <f t="shared" si="13"/>
        <v>1.361835153222966</v>
      </c>
      <c r="L30">
        <v>300</v>
      </c>
      <c r="M30">
        <f t="shared" si="14"/>
        <v>43817.5</v>
      </c>
      <c r="N30">
        <v>17</v>
      </c>
    </row>
    <row r="31" spans="1:14" ht="12.75">
      <c r="A31" s="7" t="s">
        <v>73</v>
      </c>
      <c r="B31">
        <v>17.5</v>
      </c>
      <c r="C31">
        <v>1.5</v>
      </c>
      <c r="D31">
        <f t="shared" si="8"/>
        <v>270.875</v>
      </c>
      <c r="E31">
        <f t="shared" si="9"/>
        <v>216.70000000000002</v>
      </c>
      <c r="F31">
        <v>0.8</v>
      </c>
      <c r="G31" s="18">
        <f t="shared" si="10"/>
        <v>325.05</v>
      </c>
      <c r="H31" s="20">
        <f t="shared" si="1"/>
        <v>3656.25</v>
      </c>
      <c r="I31">
        <f t="shared" si="11"/>
        <v>208.92857142857142</v>
      </c>
      <c r="J31">
        <f t="shared" si="12"/>
        <v>1.1449454033110251</v>
      </c>
      <c r="K31">
        <f t="shared" si="13"/>
        <v>1.1449454033110251</v>
      </c>
      <c r="L31">
        <v>300</v>
      </c>
      <c r="M31">
        <f t="shared" si="14"/>
        <v>45274.821428571435</v>
      </c>
      <c r="N31">
        <v>18</v>
      </c>
    </row>
    <row r="32" spans="1:13" ht="12.75">
      <c r="A32" s="7" t="s">
        <v>40</v>
      </c>
      <c r="B32">
        <v>50</v>
      </c>
      <c r="C32">
        <v>1</v>
      </c>
      <c r="D32">
        <f t="shared" si="0"/>
        <v>441.5</v>
      </c>
      <c r="E32">
        <v>440</v>
      </c>
      <c r="F32">
        <f t="shared" si="2"/>
        <v>0.9966024915062288</v>
      </c>
      <c r="G32" s="18">
        <f t="shared" si="3"/>
        <v>440</v>
      </c>
      <c r="H32" s="20">
        <f t="shared" si="1"/>
        <v>7826.590909090909</v>
      </c>
      <c r="I32">
        <f t="shared" si="4"/>
        <v>156.53181818181818</v>
      </c>
      <c r="J32">
        <f t="shared" si="5"/>
        <v>1.549841493483621</v>
      </c>
      <c r="K32">
        <f t="shared" si="6"/>
        <v>1.549841493483621</v>
      </c>
      <c r="L32">
        <v>500</v>
      </c>
      <c r="M32">
        <f t="shared" si="7"/>
        <v>68874</v>
      </c>
    </row>
    <row r="33" spans="1:13" ht="12.75">
      <c r="A33" s="7" t="s">
        <v>41</v>
      </c>
      <c r="B33">
        <v>55</v>
      </c>
      <c r="C33">
        <v>1</v>
      </c>
      <c r="D33">
        <f t="shared" si="0"/>
        <v>467.75</v>
      </c>
      <c r="E33">
        <v>460</v>
      </c>
      <c r="F33">
        <f t="shared" si="2"/>
        <v>0.9834313201496526</v>
      </c>
      <c r="G33" s="18">
        <f t="shared" si="3"/>
        <v>460</v>
      </c>
      <c r="H33" s="20">
        <f t="shared" si="1"/>
        <v>8694.048913043478</v>
      </c>
      <c r="I33">
        <f t="shared" si="4"/>
        <v>158.0736166007905</v>
      </c>
      <c r="J33">
        <f t="shared" si="5"/>
        <v>1.620288834096513</v>
      </c>
      <c r="K33">
        <f t="shared" si="6"/>
        <v>1.620288834096513</v>
      </c>
      <c r="L33">
        <v>500</v>
      </c>
      <c r="M33">
        <f t="shared" si="7"/>
        <v>72713.86363636363</v>
      </c>
    </row>
    <row r="34" spans="1:13" ht="12.75">
      <c r="A34" s="7" t="s">
        <v>42</v>
      </c>
      <c r="B34">
        <v>45</v>
      </c>
      <c r="C34">
        <v>1</v>
      </c>
      <c r="D34">
        <f t="shared" si="0"/>
        <v>415.25</v>
      </c>
      <c r="E34">
        <v>420</v>
      </c>
      <c r="F34">
        <f t="shared" si="2"/>
        <v>1.0114388922335942</v>
      </c>
      <c r="G34" s="18">
        <f t="shared" si="3"/>
        <v>420</v>
      </c>
      <c r="H34" s="20">
        <f aca="true" t="shared" si="15" ref="H34:H65">(weff*(B34+2))/F34</f>
        <v>6970.267857142858</v>
      </c>
      <c r="I34">
        <f t="shared" si="4"/>
        <v>154.8948412698413</v>
      </c>
      <c r="J34">
        <f t="shared" si="5"/>
        <v>1.4793941528707293</v>
      </c>
      <c r="K34">
        <f t="shared" si="6"/>
        <v>1.4793941528707293</v>
      </c>
      <c r="L34">
        <v>500</v>
      </c>
      <c r="M34">
        <f t="shared" si="7"/>
        <v>65055.83333333334</v>
      </c>
    </row>
    <row r="35" spans="1:13" ht="12.75">
      <c r="A35" s="7" t="s">
        <v>43</v>
      </c>
      <c r="B35">
        <v>70</v>
      </c>
      <c r="C35">
        <v>1</v>
      </c>
      <c r="D35">
        <f t="shared" si="0"/>
        <v>546.5</v>
      </c>
      <c r="E35">
        <v>520</v>
      </c>
      <c r="F35">
        <f t="shared" si="2"/>
        <v>0.9515096065873742</v>
      </c>
      <c r="G35" s="18">
        <f t="shared" si="3"/>
        <v>520</v>
      </c>
      <c r="H35" s="20">
        <f t="shared" si="15"/>
        <v>11350.384615384615</v>
      </c>
      <c r="I35">
        <f t="shared" si="4"/>
        <v>162.14835164835165</v>
      </c>
      <c r="J35">
        <f t="shared" si="5"/>
        <v>1.8316308559351886</v>
      </c>
      <c r="K35">
        <f t="shared" si="6"/>
        <v>1.8316308559351886</v>
      </c>
      <c r="L35">
        <v>500</v>
      </c>
      <c r="M35">
        <f t="shared" si="7"/>
        <v>84317.14285714286</v>
      </c>
    </row>
    <row r="36" spans="1:13" ht="12.75">
      <c r="A36" s="7" t="s">
        <v>38</v>
      </c>
      <c r="B36">
        <v>14</v>
      </c>
      <c r="C36">
        <v>2</v>
      </c>
      <c r="D36">
        <f t="shared" si="0"/>
        <v>252.5</v>
      </c>
      <c r="E36">
        <v>250</v>
      </c>
      <c r="F36">
        <f t="shared" si="2"/>
        <v>0.9900990099009901</v>
      </c>
      <c r="G36" s="18">
        <f t="shared" si="3"/>
        <v>500</v>
      </c>
      <c r="H36" s="20">
        <f t="shared" si="15"/>
        <v>2424</v>
      </c>
      <c r="I36">
        <f t="shared" si="4"/>
        <v>173.14285714285714</v>
      </c>
      <c r="J36">
        <f t="shared" si="5"/>
        <v>1.7611835153222968</v>
      </c>
      <c r="K36">
        <f t="shared" si="6"/>
        <v>1.7611835153222968</v>
      </c>
      <c r="L36">
        <v>0</v>
      </c>
      <c r="M36">
        <f t="shared" si="7"/>
        <v>43285.71428571428</v>
      </c>
    </row>
    <row r="37" spans="1:13" ht="12.75">
      <c r="A37" s="7" t="s">
        <v>37</v>
      </c>
      <c r="B37">
        <v>32</v>
      </c>
      <c r="C37">
        <v>2</v>
      </c>
      <c r="D37">
        <f t="shared" si="0"/>
        <v>347</v>
      </c>
      <c r="E37">
        <v>360</v>
      </c>
      <c r="F37">
        <f t="shared" si="2"/>
        <v>1.037463976945245</v>
      </c>
      <c r="G37" s="18">
        <f t="shared" si="3"/>
        <v>720</v>
      </c>
      <c r="H37" s="20">
        <f t="shared" si="15"/>
        <v>4915.833333333333</v>
      </c>
      <c r="I37">
        <f t="shared" si="4"/>
        <v>153.61979166666666</v>
      </c>
      <c r="J37">
        <f t="shared" si="5"/>
        <v>2.536104262064107</v>
      </c>
      <c r="K37">
        <f t="shared" si="6"/>
        <v>2.536104262064107</v>
      </c>
      <c r="L37">
        <v>0</v>
      </c>
      <c r="M37">
        <f t="shared" si="7"/>
        <v>55303.125</v>
      </c>
    </row>
    <row r="38" spans="1:13" ht="12.75">
      <c r="A38" s="7" t="s">
        <v>45</v>
      </c>
      <c r="B38">
        <v>23</v>
      </c>
      <c r="C38">
        <v>1</v>
      </c>
      <c r="D38">
        <f t="shared" si="0"/>
        <v>299.75</v>
      </c>
      <c r="E38">
        <v>300</v>
      </c>
      <c r="F38">
        <f t="shared" si="2"/>
        <v>1.0008340283569641</v>
      </c>
      <c r="G38" s="18">
        <f t="shared" si="3"/>
        <v>300</v>
      </c>
      <c r="H38" s="20">
        <f t="shared" si="15"/>
        <v>3746.875</v>
      </c>
      <c r="I38">
        <f t="shared" si="4"/>
        <v>162.9076086956522</v>
      </c>
      <c r="J38">
        <f t="shared" si="5"/>
        <v>1.056710109193378</v>
      </c>
      <c r="K38">
        <f t="shared" si="6"/>
        <v>1.056710109193378</v>
      </c>
      <c r="L38">
        <v>300</v>
      </c>
      <c r="M38">
        <f t="shared" si="7"/>
        <v>48872.282608695656</v>
      </c>
    </row>
    <row r="39" spans="1:13" ht="12.75">
      <c r="A39" t="s">
        <v>84</v>
      </c>
      <c r="B39">
        <v>20</v>
      </c>
      <c r="D39">
        <f t="shared" si="0"/>
        <v>284</v>
      </c>
      <c r="E39">
        <v>285</v>
      </c>
      <c r="F39">
        <f t="shared" si="2"/>
        <v>1.0035211267605635</v>
      </c>
      <c r="G39" s="18">
        <f t="shared" si="3"/>
        <v>0</v>
      </c>
      <c r="H39" s="20">
        <f t="shared" si="15"/>
        <v>3288.4210526315787</v>
      </c>
      <c r="I39">
        <f t="shared" si="4"/>
        <v>164.42105263157893</v>
      </c>
      <c r="J39">
        <f t="shared" si="5"/>
        <v>0</v>
      </c>
      <c r="K39">
        <f t="shared" si="6"/>
        <v>0</v>
      </c>
      <c r="L39">
        <v>0</v>
      </c>
      <c r="M39">
        <f t="shared" si="7"/>
        <v>46859.99999999999</v>
      </c>
    </row>
    <row r="40" spans="1:13" ht="12.75">
      <c r="A40" s="7" t="s">
        <v>49</v>
      </c>
      <c r="B40">
        <v>11</v>
      </c>
      <c r="C40">
        <v>2</v>
      </c>
      <c r="D40">
        <f t="shared" si="0"/>
        <v>236.75</v>
      </c>
      <c r="E40">
        <v>230</v>
      </c>
      <c r="F40">
        <f t="shared" si="2"/>
        <v>0.9714889123548046</v>
      </c>
      <c r="G40" s="18">
        <f t="shared" si="3"/>
        <v>460</v>
      </c>
      <c r="H40" s="20">
        <f t="shared" si="15"/>
        <v>2007.2282608695652</v>
      </c>
      <c r="I40">
        <f t="shared" si="4"/>
        <v>182.47529644268775</v>
      </c>
      <c r="J40">
        <f t="shared" si="5"/>
        <v>1.620288834096513</v>
      </c>
      <c r="K40">
        <f t="shared" si="6"/>
        <v>1.620288834096513</v>
      </c>
      <c r="L40">
        <v>0</v>
      </c>
      <c r="M40">
        <f t="shared" si="7"/>
        <v>41969.318181818184</v>
      </c>
    </row>
    <row r="41" spans="1:13" ht="12.75">
      <c r="A41" s="7" t="s">
        <v>49</v>
      </c>
      <c r="B41">
        <v>20</v>
      </c>
      <c r="C41">
        <v>2</v>
      </c>
      <c r="D41">
        <f t="shared" si="0"/>
        <v>284</v>
      </c>
      <c r="E41">
        <v>280</v>
      </c>
      <c r="F41">
        <f t="shared" si="2"/>
        <v>0.9859154929577465</v>
      </c>
      <c r="G41" s="18">
        <f t="shared" si="3"/>
        <v>560</v>
      </c>
      <c r="H41" s="20">
        <f t="shared" si="15"/>
        <v>3347.142857142857</v>
      </c>
      <c r="I41">
        <f t="shared" si="4"/>
        <v>167.35714285714283</v>
      </c>
      <c r="J41">
        <f t="shared" si="5"/>
        <v>1.9725255371609722</v>
      </c>
      <c r="K41">
        <f t="shared" si="6"/>
        <v>1.9725255371609722</v>
      </c>
      <c r="L41">
        <v>0</v>
      </c>
      <c r="M41">
        <f t="shared" si="7"/>
        <v>46859.99999999999</v>
      </c>
    </row>
    <row r="42" spans="1:13" ht="12.75">
      <c r="A42" s="7" t="s">
        <v>89</v>
      </c>
      <c r="B42">
        <v>25</v>
      </c>
      <c r="C42">
        <v>1</v>
      </c>
      <c r="D42">
        <f t="shared" si="0"/>
        <v>310.25</v>
      </c>
      <c r="E42">
        <v>300</v>
      </c>
      <c r="F42">
        <f t="shared" si="2"/>
        <v>0.9669621273166801</v>
      </c>
      <c r="G42" s="18">
        <f t="shared" si="3"/>
        <v>300</v>
      </c>
      <c r="H42" s="20">
        <f t="shared" si="15"/>
        <v>4188.375</v>
      </c>
      <c r="I42">
        <f t="shared" si="4"/>
        <v>167.535</v>
      </c>
      <c r="J42">
        <f t="shared" si="5"/>
        <v>1.056710109193378</v>
      </c>
      <c r="K42">
        <f t="shared" si="6"/>
        <v>1.056710109193378</v>
      </c>
      <c r="L42">
        <v>200</v>
      </c>
      <c r="M42">
        <f t="shared" si="7"/>
        <v>50260.5</v>
      </c>
    </row>
    <row r="43" spans="1:13" ht="12.75">
      <c r="A43" s="7" t="s">
        <v>51</v>
      </c>
      <c r="B43">
        <v>10</v>
      </c>
      <c r="C43">
        <v>1</v>
      </c>
      <c r="D43">
        <f t="shared" si="0"/>
        <v>231.5</v>
      </c>
      <c r="E43">
        <v>225</v>
      </c>
      <c r="F43">
        <f t="shared" si="2"/>
        <v>0.9719222462203023</v>
      </c>
      <c r="G43" s="18">
        <f t="shared" si="3"/>
        <v>225</v>
      </c>
      <c r="H43" s="20">
        <f t="shared" si="15"/>
        <v>1852</v>
      </c>
      <c r="I43">
        <f t="shared" si="4"/>
        <v>185.2</v>
      </c>
      <c r="J43">
        <f t="shared" si="5"/>
        <v>0.7925325818950335</v>
      </c>
      <c r="K43">
        <f t="shared" si="6"/>
        <v>0.7925325818950335</v>
      </c>
      <c r="L43">
        <v>0</v>
      </c>
      <c r="M43">
        <f t="shared" si="7"/>
        <v>41670</v>
      </c>
    </row>
    <row r="44" spans="1:13" ht="12.75">
      <c r="A44" s="7" t="s">
        <v>48</v>
      </c>
      <c r="B44">
        <v>14</v>
      </c>
      <c r="C44">
        <v>1</v>
      </c>
      <c r="D44">
        <f t="shared" si="0"/>
        <v>252.5</v>
      </c>
      <c r="E44">
        <v>250</v>
      </c>
      <c r="F44">
        <f t="shared" si="2"/>
        <v>0.9900990099009901</v>
      </c>
      <c r="G44" s="18">
        <f t="shared" si="3"/>
        <v>250</v>
      </c>
      <c r="H44" s="20">
        <f t="shared" si="15"/>
        <v>2424</v>
      </c>
      <c r="I44">
        <f t="shared" si="4"/>
        <v>173.14285714285714</v>
      </c>
      <c r="J44">
        <f t="shared" si="5"/>
        <v>0.8805917576611484</v>
      </c>
      <c r="K44">
        <f t="shared" si="6"/>
        <v>0.8805917576611484</v>
      </c>
      <c r="L44">
        <v>0</v>
      </c>
      <c r="M44">
        <f t="shared" si="7"/>
        <v>43285.71428571428</v>
      </c>
    </row>
    <row r="45" spans="1:13" ht="12.75">
      <c r="A45" s="7" t="s">
        <v>46</v>
      </c>
      <c r="B45">
        <v>26</v>
      </c>
      <c r="C45">
        <v>1</v>
      </c>
      <c r="D45">
        <f t="shared" si="0"/>
        <v>315.5</v>
      </c>
      <c r="E45">
        <v>315</v>
      </c>
      <c r="F45">
        <f t="shared" si="2"/>
        <v>0.9984152139461173</v>
      </c>
      <c r="G45" s="18">
        <f t="shared" si="3"/>
        <v>315</v>
      </c>
      <c r="H45" s="20">
        <f t="shared" si="15"/>
        <v>4206.666666666666</v>
      </c>
      <c r="I45">
        <f t="shared" si="4"/>
        <v>161.79487179487177</v>
      </c>
      <c r="J45">
        <f t="shared" si="5"/>
        <v>1.109545614653047</v>
      </c>
      <c r="K45">
        <f t="shared" si="6"/>
        <v>1.109545614653047</v>
      </c>
      <c r="L45">
        <v>300</v>
      </c>
      <c r="M45">
        <f t="shared" si="7"/>
        <v>50965.38461538461</v>
      </c>
    </row>
    <row r="46" spans="1:13" ht="12.75">
      <c r="A46" s="7" t="s">
        <v>85</v>
      </c>
      <c r="B46">
        <v>75</v>
      </c>
      <c r="C46">
        <v>1.5</v>
      </c>
      <c r="D46">
        <f t="shared" si="0"/>
        <v>572.75</v>
      </c>
      <c r="E46">
        <v>575</v>
      </c>
      <c r="F46">
        <f t="shared" si="2"/>
        <v>1.003928415539066</v>
      </c>
      <c r="G46" s="18">
        <f t="shared" si="3"/>
        <v>862.5000000000001</v>
      </c>
      <c r="H46" s="20">
        <f t="shared" si="15"/>
        <v>11504.804347826086</v>
      </c>
      <c r="I46">
        <f t="shared" si="4"/>
        <v>153.39739130434782</v>
      </c>
      <c r="J46">
        <f t="shared" si="5"/>
        <v>3.038041563930962</v>
      </c>
      <c r="K46">
        <f t="shared" si="6"/>
        <v>3.038041563930962</v>
      </c>
      <c r="L46">
        <v>400</v>
      </c>
      <c r="M46">
        <f t="shared" si="7"/>
        <v>88203.49999999999</v>
      </c>
    </row>
    <row r="47" spans="1:13" ht="12.75">
      <c r="A47" s="7" t="s">
        <v>92</v>
      </c>
      <c r="B47">
        <v>16</v>
      </c>
      <c r="C47">
        <v>2</v>
      </c>
      <c r="D47">
        <f t="shared" si="0"/>
        <v>263</v>
      </c>
      <c r="E47">
        <v>240</v>
      </c>
      <c r="F47">
        <f t="shared" si="2"/>
        <v>0.9125475285171103</v>
      </c>
      <c r="G47" s="18">
        <f t="shared" si="3"/>
        <v>480</v>
      </c>
      <c r="H47" s="20">
        <f t="shared" si="15"/>
        <v>2958.75</v>
      </c>
      <c r="I47">
        <f t="shared" si="4"/>
        <v>184.921875</v>
      </c>
      <c r="J47">
        <f t="shared" si="5"/>
        <v>1.690736174709405</v>
      </c>
      <c r="K47">
        <f t="shared" si="6"/>
        <v>1.690736174709405</v>
      </c>
      <c r="L47">
        <v>0</v>
      </c>
      <c r="M47">
        <f t="shared" si="7"/>
        <v>44381.25</v>
      </c>
    </row>
    <row r="48" spans="1:13" ht="12.75">
      <c r="A48" s="7" t="s">
        <v>79</v>
      </c>
      <c r="B48">
        <v>40</v>
      </c>
      <c r="C48">
        <v>1.5</v>
      </c>
      <c r="D48">
        <f t="shared" si="0"/>
        <v>389</v>
      </c>
      <c r="E48">
        <v>380</v>
      </c>
      <c r="F48">
        <f t="shared" si="2"/>
        <v>0.9768637532133676</v>
      </c>
      <c r="G48" s="18">
        <f t="shared" si="3"/>
        <v>570</v>
      </c>
      <c r="H48" s="20">
        <f t="shared" si="15"/>
        <v>6449.210526315789</v>
      </c>
      <c r="I48">
        <f t="shared" si="4"/>
        <v>161.23026315789474</v>
      </c>
      <c r="J48">
        <f t="shared" si="5"/>
        <v>2.0077492074674184</v>
      </c>
      <c r="K48">
        <f t="shared" si="6"/>
        <v>2.0077492074674184</v>
      </c>
      <c r="L48">
        <v>200</v>
      </c>
      <c r="M48">
        <f t="shared" si="7"/>
        <v>61267.5</v>
      </c>
    </row>
    <row r="49" spans="1:13" ht="12.75">
      <c r="A49" s="7" t="s">
        <v>34</v>
      </c>
      <c r="B49">
        <v>15</v>
      </c>
      <c r="C49">
        <v>2</v>
      </c>
      <c r="D49">
        <f t="shared" si="0"/>
        <v>257.75</v>
      </c>
      <c r="E49">
        <v>250</v>
      </c>
      <c r="F49">
        <f t="shared" si="2"/>
        <v>0.9699321047526673</v>
      </c>
      <c r="G49" s="18">
        <f t="shared" si="3"/>
        <v>500</v>
      </c>
      <c r="H49" s="20">
        <f t="shared" si="15"/>
        <v>2629.0499999999997</v>
      </c>
      <c r="I49">
        <f t="shared" si="4"/>
        <v>175.26999999999998</v>
      </c>
      <c r="J49">
        <f t="shared" si="5"/>
        <v>1.7611835153222968</v>
      </c>
      <c r="K49">
        <f t="shared" si="6"/>
        <v>1.7611835153222968</v>
      </c>
      <c r="L49">
        <v>0</v>
      </c>
      <c r="M49">
        <f t="shared" si="7"/>
        <v>43817.49999999999</v>
      </c>
    </row>
    <row r="50" spans="1:13" ht="12.75">
      <c r="A50" s="7" t="s">
        <v>35</v>
      </c>
      <c r="B50">
        <v>4</v>
      </c>
      <c r="C50">
        <v>2</v>
      </c>
      <c r="D50">
        <f t="shared" si="0"/>
        <v>200</v>
      </c>
      <c r="E50">
        <v>200</v>
      </c>
      <c r="F50">
        <f t="shared" si="2"/>
        <v>1</v>
      </c>
      <c r="G50" s="18">
        <f t="shared" si="3"/>
        <v>400</v>
      </c>
      <c r="H50" s="20">
        <f t="shared" si="15"/>
        <v>900</v>
      </c>
      <c r="I50">
        <f t="shared" si="4"/>
        <v>225</v>
      </c>
      <c r="J50">
        <f t="shared" si="5"/>
        <v>1.4089468122578375</v>
      </c>
      <c r="K50">
        <f t="shared" si="6"/>
        <v>1.4089468122578375</v>
      </c>
      <c r="L50">
        <v>0</v>
      </c>
      <c r="M50">
        <f t="shared" si="7"/>
        <v>45000</v>
      </c>
    </row>
    <row r="51" spans="1:13" ht="12.75">
      <c r="A51" s="7" t="s">
        <v>88</v>
      </c>
      <c r="B51">
        <v>14</v>
      </c>
      <c r="C51">
        <v>1.5</v>
      </c>
      <c r="D51">
        <f t="shared" si="0"/>
        <v>252.5</v>
      </c>
      <c r="E51">
        <v>275</v>
      </c>
      <c r="F51">
        <f t="shared" si="2"/>
        <v>1.0891089108910892</v>
      </c>
      <c r="G51" s="18">
        <f t="shared" si="3"/>
        <v>412.50000000000006</v>
      </c>
      <c r="H51" s="20">
        <f t="shared" si="15"/>
        <v>2203.6363636363635</v>
      </c>
      <c r="I51">
        <f t="shared" si="4"/>
        <v>157.4025974025974</v>
      </c>
      <c r="J51">
        <f t="shared" si="5"/>
        <v>1.452976400140895</v>
      </c>
      <c r="K51">
        <f t="shared" si="6"/>
        <v>1.452976400140895</v>
      </c>
      <c r="L51">
        <v>0</v>
      </c>
      <c r="M51">
        <f t="shared" si="7"/>
        <v>43285.71428571428</v>
      </c>
    </row>
    <row r="52" spans="1:13" ht="12.75">
      <c r="A52" s="7" t="s">
        <v>53</v>
      </c>
      <c r="B52">
        <v>8</v>
      </c>
      <c r="C52">
        <v>2</v>
      </c>
      <c r="D52">
        <f t="shared" si="0"/>
        <v>221</v>
      </c>
      <c r="E52">
        <v>225</v>
      </c>
      <c r="F52">
        <f t="shared" si="2"/>
        <v>1.0180995475113122</v>
      </c>
      <c r="G52" s="18">
        <f t="shared" si="3"/>
        <v>450</v>
      </c>
      <c r="H52" s="20">
        <f t="shared" si="15"/>
        <v>1473.3333333333335</v>
      </c>
      <c r="I52">
        <f t="shared" si="4"/>
        <v>184.16666666666669</v>
      </c>
      <c r="J52">
        <f t="shared" si="5"/>
        <v>1.585065163790067</v>
      </c>
      <c r="K52">
        <f t="shared" si="6"/>
        <v>1.585065163790067</v>
      </c>
      <c r="L52">
        <v>0</v>
      </c>
      <c r="M52">
        <f t="shared" si="7"/>
        <v>41437.50000000001</v>
      </c>
    </row>
    <row r="53" spans="1:13" ht="12.75">
      <c r="A53" s="7" t="s">
        <v>54</v>
      </c>
      <c r="B53">
        <v>6</v>
      </c>
      <c r="C53">
        <v>2</v>
      </c>
      <c r="D53">
        <f t="shared" si="0"/>
        <v>210.5</v>
      </c>
      <c r="E53">
        <v>240</v>
      </c>
      <c r="F53">
        <f t="shared" si="2"/>
        <v>1.1401425178147269</v>
      </c>
      <c r="G53" s="18">
        <f t="shared" si="3"/>
        <v>480</v>
      </c>
      <c r="H53" s="20">
        <f t="shared" si="15"/>
        <v>1052.5</v>
      </c>
      <c r="I53">
        <f t="shared" si="4"/>
        <v>175.41666666666666</v>
      </c>
      <c r="J53">
        <f t="shared" si="5"/>
        <v>1.690736174709405</v>
      </c>
      <c r="K53">
        <f t="shared" si="6"/>
        <v>1.690736174709405</v>
      </c>
      <c r="L53">
        <v>0</v>
      </c>
      <c r="M53">
        <f t="shared" si="7"/>
        <v>42100</v>
      </c>
    </row>
    <row r="54" spans="1:13" ht="12.75">
      <c r="A54" s="7" t="s">
        <v>55</v>
      </c>
      <c r="B54">
        <v>10</v>
      </c>
      <c r="C54">
        <v>2</v>
      </c>
      <c r="D54">
        <f t="shared" si="0"/>
        <v>231.5</v>
      </c>
      <c r="E54">
        <v>260</v>
      </c>
      <c r="F54">
        <f t="shared" si="2"/>
        <v>1.123110151187905</v>
      </c>
      <c r="G54" s="18">
        <f t="shared" si="3"/>
        <v>520</v>
      </c>
      <c r="H54" s="20">
        <f t="shared" si="15"/>
        <v>1602.6923076923078</v>
      </c>
      <c r="I54">
        <f t="shared" si="4"/>
        <v>160.26923076923077</v>
      </c>
      <c r="J54">
        <f t="shared" si="5"/>
        <v>1.8316308559351886</v>
      </c>
      <c r="K54">
        <f t="shared" si="6"/>
        <v>1.8316308559351886</v>
      </c>
      <c r="L54">
        <v>0</v>
      </c>
      <c r="M54">
        <f t="shared" si="7"/>
        <v>41670.00000000001</v>
      </c>
    </row>
    <row r="55" spans="1:13" ht="12.75">
      <c r="A55" s="7" t="s">
        <v>56</v>
      </c>
      <c r="B55">
        <v>14</v>
      </c>
      <c r="C55">
        <v>2</v>
      </c>
      <c r="D55">
        <f t="shared" si="0"/>
        <v>252.5</v>
      </c>
      <c r="E55">
        <v>280</v>
      </c>
      <c r="F55">
        <f t="shared" si="2"/>
        <v>1.108910891089109</v>
      </c>
      <c r="G55" s="18">
        <f t="shared" si="3"/>
        <v>560</v>
      </c>
      <c r="H55" s="20">
        <f t="shared" si="15"/>
        <v>2164.285714285714</v>
      </c>
      <c r="I55">
        <f t="shared" si="4"/>
        <v>154.59183673469389</v>
      </c>
      <c r="J55">
        <f t="shared" si="5"/>
        <v>1.9725255371609722</v>
      </c>
      <c r="K55">
        <f t="shared" si="6"/>
        <v>1.9725255371609722</v>
      </c>
      <c r="L55">
        <v>0</v>
      </c>
      <c r="M55">
        <f t="shared" si="7"/>
        <v>43285.71428571428</v>
      </c>
    </row>
    <row r="56" spans="1:13" ht="12.75">
      <c r="A56" s="7" t="s">
        <v>52</v>
      </c>
      <c r="B56">
        <v>9</v>
      </c>
      <c r="C56">
        <v>1</v>
      </c>
      <c r="D56">
        <f t="shared" si="0"/>
        <v>226.25</v>
      </c>
      <c r="E56">
        <v>250</v>
      </c>
      <c r="F56">
        <f t="shared" si="2"/>
        <v>1.1049723756906078</v>
      </c>
      <c r="G56" s="18">
        <f t="shared" si="3"/>
        <v>250.00000000000003</v>
      </c>
      <c r="H56" s="20">
        <f t="shared" si="15"/>
        <v>1493.25</v>
      </c>
      <c r="I56">
        <f t="shared" si="4"/>
        <v>165.91666666666666</v>
      </c>
      <c r="J56">
        <f t="shared" si="5"/>
        <v>0.8805917576611485</v>
      </c>
      <c r="K56">
        <f t="shared" si="6"/>
        <v>0.8805917576611485</v>
      </c>
      <c r="L56">
        <v>0</v>
      </c>
      <c r="M56">
        <f t="shared" si="7"/>
        <v>41479.166666666664</v>
      </c>
    </row>
    <row r="57" spans="1:13" ht="12.75">
      <c r="A57" s="7" t="s">
        <v>81</v>
      </c>
      <c r="B57">
        <v>22</v>
      </c>
      <c r="C57">
        <v>2</v>
      </c>
      <c r="D57">
        <f t="shared" si="0"/>
        <v>294.5</v>
      </c>
      <c r="E57">
        <v>300</v>
      </c>
      <c r="F57">
        <f t="shared" si="2"/>
        <v>1.0186757215619695</v>
      </c>
      <c r="G57" s="18">
        <f t="shared" si="3"/>
        <v>600</v>
      </c>
      <c r="H57" s="20">
        <f t="shared" si="15"/>
        <v>3534</v>
      </c>
      <c r="I57">
        <f t="shared" si="4"/>
        <v>160.63636363636363</v>
      </c>
      <c r="J57">
        <f t="shared" si="5"/>
        <v>2.113420218386756</v>
      </c>
      <c r="K57">
        <f t="shared" si="6"/>
        <v>2.113420218386756</v>
      </c>
      <c r="L57">
        <v>300</v>
      </c>
      <c r="M57">
        <f t="shared" si="7"/>
        <v>48190.90909090909</v>
      </c>
    </row>
    <row r="58" spans="1:13" ht="12.75">
      <c r="A58" s="7" t="s">
        <v>87</v>
      </c>
      <c r="B58">
        <v>24</v>
      </c>
      <c r="C58">
        <v>1.5</v>
      </c>
      <c r="D58">
        <f t="shared" si="0"/>
        <v>305</v>
      </c>
      <c r="E58">
        <v>305</v>
      </c>
      <c r="F58">
        <f t="shared" si="2"/>
        <v>1</v>
      </c>
      <c r="G58" s="18">
        <f t="shared" si="3"/>
        <v>457.5</v>
      </c>
      <c r="H58" s="20">
        <f t="shared" si="15"/>
        <v>3900</v>
      </c>
      <c r="I58">
        <f t="shared" si="4"/>
        <v>162.5</v>
      </c>
      <c r="J58">
        <f t="shared" si="5"/>
        <v>1.6114829165199016</v>
      </c>
      <c r="K58">
        <f t="shared" si="6"/>
        <v>1.6114829165199016</v>
      </c>
      <c r="L58">
        <v>200</v>
      </c>
      <c r="M58">
        <f t="shared" si="7"/>
        <v>49562.5</v>
      </c>
    </row>
    <row r="59" spans="1:13" ht="12.75">
      <c r="A59" s="7" t="s">
        <v>44</v>
      </c>
      <c r="B59">
        <v>30</v>
      </c>
      <c r="C59">
        <v>1</v>
      </c>
      <c r="D59">
        <f t="shared" si="0"/>
        <v>336.5</v>
      </c>
      <c r="E59">
        <v>300</v>
      </c>
      <c r="F59">
        <f t="shared" si="2"/>
        <v>0.8915304606240714</v>
      </c>
      <c r="G59" s="18">
        <f t="shared" si="3"/>
        <v>300</v>
      </c>
      <c r="H59" s="20">
        <f t="shared" si="15"/>
        <v>5384</v>
      </c>
      <c r="I59">
        <f t="shared" si="4"/>
        <v>179.46666666666667</v>
      </c>
      <c r="J59">
        <f t="shared" si="5"/>
        <v>1.056710109193378</v>
      </c>
      <c r="K59">
        <f t="shared" si="6"/>
        <v>1.056710109193378</v>
      </c>
      <c r="L59">
        <v>500</v>
      </c>
      <c r="M59">
        <f t="shared" si="7"/>
        <v>53840</v>
      </c>
    </row>
    <row r="60" spans="1:13" ht="12.75">
      <c r="A60" s="7" t="s">
        <v>44</v>
      </c>
      <c r="B60">
        <v>60</v>
      </c>
      <c r="C60">
        <v>1</v>
      </c>
      <c r="D60">
        <f t="shared" si="0"/>
        <v>494</v>
      </c>
      <c r="E60">
        <v>450</v>
      </c>
      <c r="F60">
        <f t="shared" si="2"/>
        <v>0.9109311740890689</v>
      </c>
      <c r="G60" s="18">
        <f t="shared" si="3"/>
        <v>450</v>
      </c>
      <c r="H60" s="20">
        <f t="shared" si="15"/>
        <v>10209.333333333332</v>
      </c>
      <c r="I60">
        <f t="shared" si="4"/>
        <v>170.15555555555554</v>
      </c>
      <c r="J60">
        <f t="shared" si="5"/>
        <v>1.585065163790067</v>
      </c>
      <c r="K60">
        <f t="shared" si="6"/>
        <v>1.585065163790067</v>
      </c>
      <c r="L60">
        <v>500</v>
      </c>
      <c r="M60">
        <f t="shared" si="7"/>
        <v>76569.99999999999</v>
      </c>
    </row>
    <row r="61" spans="1:13" ht="12.75">
      <c r="A61" s="7" t="s">
        <v>50</v>
      </c>
      <c r="B61">
        <v>12</v>
      </c>
      <c r="C61">
        <v>1.5</v>
      </c>
      <c r="D61">
        <f t="shared" si="0"/>
        <v>242</v>
      </c>
      <c r="E61">
        <v>265</v>
      </c>
      <c r="F61">
        <f t="shared" si="2"/>
        <v>1.0950413223140496</v>
      </c>
      <c r="G61" s="18">
        <f t="shared" si="3"/>
        <v>397.5</v>
      </c>
      <c r="H61" s="20">
        <f t="shared" si="15"/>
        <v>1917.7358490566037</v>
      </c>
      <c r="I61">
        <f t="shared" si="4"/>
        <v>159.81132075471697</v>
      </c>
      <c r="J61">
        <f t="shared" si="5"/>
        <v>1.400140894681226</v>
      </c>
      <c r="K61">
        <f t="shared" si="6"/>
        <v>1.400140894681226</v>
      </c>
      <c r="L61">
        <v>0</v>
      </c>
      <c r="M61">
        <f t="shared" si="7"/>
        <v>42350</v>
      </c>
    </row>
    <row r="62" spans="1:13" ht="12.75">
      <c r="A62" s="7" t="s">
        <v>47</v>
      </c>
      <c r="B62">
        <v>16</v>
      </c>
      <c r="C62">
        <v>1.5</v>
      </c>
      <c r="D62">
        <f t="shared" si="0"/>
        <v>263</v>
      </c>
      <c r="E62">
        <v>260</v>
      </c>
      <c r="F62">
        <f t="shared" si="2"/>
        <v>0.9885931558935361</v>
      </c>
      <c r="G62" s="18">
        <f t="shared" si="3"/>
        <v>390</v>
      </c>
      <c r="H62" s="20">
        <f t="shared" si="15"/>
        <v>2731.153846153846</v>
      </c>
      <c r="I62">
        <f t="shared" si="4"/>
        <v>170.6971153846154</v>
      </c>
      <c r="J62">
        <f t="shared" si="5"/>
        <v>1.3737231419513913</v>
      </c>
      <c r="K62">
        <f t="shared" si="6"/>
        <v>1.3737231419513913</v>
      </c>
      <c r="L62">
        <v>0</v>
      </c>
      <c r="M62">
        <f t="shared" si="7"/>
        <v>44381.25</v>
      </c>
    </row>
    <row r="63" spans="1:13" ht="12.75">
      <c r="A63" s="7" t="s">
        <v>90</v>
      </c>
      <c r="B63">
        <v>20</v>
      </c>
      <c r="C63">
        <v>2</v>
      </c>
      <c r="D63">
        <f t="shared" si="0"/>
        <v>284</v>
      </c>
      <c r="E63">
        <v>275</v>
      </c>
      <c r="F63">
        <f t="shared" si="2"/>
        <v>0.9683098591549296</v>
      </c>
      <c r="G63" s="18">
        <f t="shared" si="3"/>
        <v>550</v>
      </c>
      <c r="H63" s="20">
        <f t="shared" si="15"/>
        <v>3408</v>
      </c>
      <c r="I63">
        <f t="shared" si="4"/>
        <v>170.4</v>
      </c>
      <c r="J63">
        <f t="shared" si="5"/>
        <v>1.9373018668545263</v>
      </c>
      <c r="K63">
        <f t="shared" si="6"/>
        <v>1.9373018668545263</v>
      </c>
      <c r="L63">
        <v>300</v>
      </c>
      <c r="M63">
        <f t="shared" si="7"/>
        <v>46860</v>
      </c>
    </row>
    <row r="64" spans="1:13" ht="12.75">
      <c r="A64" s="7" t="s">
        <v>91</v>
      </c>
      <c r="B64">
        <v>10</v>
      </c>
      <c r="C64">
        <v>2</v>
      </c>
      <c r="D64">
        <f t="shared" si="0"/>
        <v>231.5</v>
      </c>
      <c r="E64">
        <v>225</v>
      </c>
      <c r="F64">
        <f t="shared" si="2"/>
        <v>0.9719222462203023</v>
      </c>
      <c r="G64" s="18">
        <f t="shared" si="3"/>
        <v>450</v>
      </c>
      <c r="H64" s="20">
        <f t="shared" si="15"/>
        <v>1852</v>
      </c>
      <c r="I64">
        <f t="shared" si="4"/>
        <v>185.2</v>
      </c>
      <c r="J64">
        <f t="shared" si="5"/>
        <v>1.585065163790067</v>
      </c>
      <c r="K64">
        <f t="shared" si="6"/>
        <v>1.585065163790067</v>
      </c>
      <c r="L64">
        <v>200</v>
      </c>
      <c r="M64">
        <f t="shared" si="7"/>
        <v>41670</v>
      </c>
    </row>
    <row r="65" spans="1:13" ht="12.75">
      <c r="A65" s="7" t="s">
        <v>96</v>
      </c>
      <c r="B65">
        <v>18</v>
      </c>
      <c r="C65">
        <v>1.5</v>
      </c>
      <c r="D65">
        <f t="shared" si="0"/>
        <v>273.5</v>
      </c>
      <c r="E65">
        <v>250</v>
      </c>
      <c r="F65">
        <f t="shared" si="2"/>
        <v>0.9140767824497258</v>
      </c>
      <c r="G65" s="18">
        <f t="shared" si="3"/>
        <v>375</v>
      </c>
      <c r="H65" s="20">
        <f t="shared" si="15"/>
        <v>3282</v>
      </c>
      <c r="I65">
        <f t="shared" si="4"/>
        <v>182.33333333333334</v>
      </c>
      <c r="J65">
        <f t="shared" si="5"/>
        <v>1.3208876364917226</v>
      </c>
      <c r="K65">
        <f t="shared" si="6"/>
        <v>1.3208876364917226</v>
      </c>
      <c r="L65">
        <v>0</v>
      </c>
      <c r="M65">
        <f t="shared" si="7"/>
        <v>45583.333333333336</v>
      </c>
    </row>
    <row r="66" spans="1:13" ht="12.75">
      <c r="A66" s="7" t="s">
        <v>97</v>
      </c>
      <c r="B66">
        <v>22.5</v>
      </c>
      <c r="C66">
        <v>1.5</v>
      </c>
      <c r="D66">
        <f aca="true" t="shared" si="16" ref="D66:D76">200+(5.25*(B66-4))</f>
        <v>297.125</v>
      </c>
      <c r="E66">
        <v>275</v>
      </c>
      <c r="F66">
        <f t="shared" si="2"/>
        <v>0.9255363904080774</v>
      </c>
      <c r="G66" s="18">
        <f t="shared" si="3"/>
        <v>412.5</v>
      </c>
      <c r="H66" s="20">
        <f aca="true" t="shared" si="17" ref="H66:H76">(weff*(B66+2))/F66</f>
        <v>3970.6704545454545</v>
      </c>
      <c r="I66">
        <f t="shared" si="4"/>
        <v>176.47424242424242</v>
      </c>
      <c r="J66">
        <f t="shared" si="5"/>
        <v>1.452976400140895</v>
      </c>
      <c r="K66">
        <f t="shared" si="6"/>
        <v>1.452976400140895</v>
      </c>
      <c r="L66">
        <v>0</v>
      </c>
      <c r="M66">
        <f t="shared" si="7"/>
        <v>48530.416666666664</v>
      </c>
    </row>
    <row r="67" spans="1:13" ht="12.75">
      <c r="A67" s="7" t="s">
        <v>98</v>
      </c>
      <c r="B67">
        <v>27</v>
      </c>
      <c r="C67">
        <v>1.5</v>
      </c>
      <c r="D67">
        <f t="shared" si="16"/>
        <v>320.75</v>
      </c>
      <c r="E67">
        <v>300</v>
      </c>
      <c r="F67">
        <f aca="true" t="shared" si="18" ref="F67:F76">E67/D67</f>
        <v>0.9353078721745908</v>
      </c>
      <c r="G67" s="18">
        <f aca="true" t="shared" si="19" ref="G67:G76">D67*C67*F67</f>
        <v>450</v>
      </c>
      <c r="H67" s="20">
        <f t="shared" si="17"/>
        <v>4650.875</v>
      </c>
      <c r="I67">
        <f aca="true" t="shared" si="20" ref="I67:I76">H67/B67</f>
        <v>172.25462962962962</v>
      </c>
      <c r="J67">
        <f aca="true" t="shared" si="21" ref="J67:J76">G67/283.9</f>
        <v>1.585065163790067</v>
      </c>
      <c r="K67">
        <f aca="true" t="shared" si="22" ref="K67:K76">G67/283.9</f>
        <v>1.585065163790067</v>
      </c>
      <c r="L67">
        <v>0</v>
      </c>
      <c r="M67">
        <f aca="true" t="shared" si="23" ref="M67:M74">(E67*H67)/B67</f>
        <v>51676.38888888889</v>
      </c>
    </row>
    <row r="68" spans="1:13" ht="12.75">
      <c r="A68" s="7" t="s">
        <v>99</v>
      </c>
      <c r="B68">
        <v>31.5</v>
      </c>
      <c r="C68">
        <v>1.5</v>
      </c>
      <c r="D68">
        <f t="shared" si="16"/>
        <v>344.375</v>
      </c>
      <c r="E68">
        <v>325</v>
      </c>
      <c r="F68">
        <f t="shared" si="18"/>
        <v>0.9437386569872959</v>
      </c>
      <c r="G68" s="18">
        <f t="shared" si="19"/>
        <v>487.5</v>
      </c>
      <c r="H68" s="20">
        <f t="shared" si="17"/>
        <v>5324.567307692308</v>
      </c>
      <c r="I68">
        <f t="shared" si="20"/>
        <v>169.03388278388277</v>
      </c>
      <c r="J68">
        <f t="shared" si="21"/>
        <v>1.7171539274392393</v>
      </c>
      <c r="K68">
        <f t="shared" si="22"/>
        <v>1.7171539274392393</v>
      </c>
      <c r="L68">
        <v>0</v>
      </c>
      <c r="M68">
        <f t="shared" si="23"/>
        <v>54936.01190476191</v>
      </c>
    </row>
    <row r="69" spans="1:13" ht="12.75">
      <c r="A69" s="7" t="s">
        <v>100</v>
      </c>
      <c r="B69">
        <v>36</v>
      </c>
      <c r="C69">
        <v>1.5</v>
      </c>
      <c r="D69">
        <f t="shared" si="16"/>
        <v>368</v>
      </c>
      <c r="E69">
        <v>350</v>
      </c>
      <c r="F69">
        <f t="shared" si="18"/>
        <v>0.9510869565217391</v>
      </c>
      <c r="G69" s="18">
        <f t="shared" si="19"/>
        <v>525</v>
      </c>
      <c r="H69" s="20">
        <f t="shared" si="17"/>
        <v>5993.142857142857</v>
      </c>
      <c r="I69">
        <f t="shared" si="20"/>
        <v>166.47619047619048</v>
      </c>
      <c r="J69">
        <f t="shared" si="21"/>
        <v>1.8492426910884117</v>
      </c>
      <c r="K69">
        <f t="shared" si="22"/>
        <v>1.8492426910884117</v>
      </c>
      <c r="L69">
        <v>0</v>
      </c>
      <c r="M69">
        <f t="shared" si="23"/>
        <v>58266.666666666664</v>
      </c>
    </row>
    <row r="70" spans="1:13" ht="12.75">
      <c r="A70" s="7" t="s">
        <v>358</v>
      </c>
      <c r="B70">
        <v>14</v>
      </c>
      <c r="C70">
        <v>2</v>
      </c>
      <c r="D70">
        <f t="shared" si="16"/>
        <v>252.5</v>
      </c>
      <c r="E70">
        <v>300</v>
      </c>
      <c r="F70">
        <f t="shared" si="18"/>
        <v>1.188118811881188</v>
      </c>
      <c r="G70" s="18">
        <f t="shared" si="19"/>
        <v>600</v>
      </c>
      <c r="H70" s="20">
        <f t="shared" si="17"/>
        <v>2020</v>
      </c>
      <c r="I70">
        <f t="shared" si="20"/>
        <v>144.28571428571428</v>
      </c>
      <c r="J70">
        <f t="shared" si="21"/>
        <v>2.113420218386756</v>
      </c>
      <c r="K70">
        <f t="shared" si="22"/>
        <v>2.113420218386756</v>
      </c>
      <c r="L70">
        <v>0</v>
      </c>
      <c r="M70">
        <f t="shared" si="23"/>
        <v>43285.71428571428</v>
      </c>
    </row>
    <row r="71" spans="1:13" ht="12.75">
      <c r="A71" s="7" t="s">
        <v>359</v>
      </c>
      <c r="B71">
        <v>23</v>
      </c>
      <c r="C71">
        <v>2</v>
      </c>
      <c r="D71">
        <f t="shared" si="16"/>
        <v>299.75</v>
      </c>
      <c r="E71">
        <v>350</v>
      </c>
      <c r="F71">
        <f t="shared" si="18"/>
        <v>1.1676396997497915</v>
      </c>
      <c r="G71" s="18">
        <f t="shared" si="19"/>
        <v>700</v>
      </c>
      <c r="H71" s="20">
        <f t="shared" si="17"/>
        <v>3211.6071428571427</v>
      </c>
      <c r="I71">
        <f t="shared" si="20"/>
        <v>139.63509316770185</v>
      </c>
      <c r="J71">
        <f t="shared" si="21"/>
        <v>2.4656569214512154</v>
      </c>
      <c r="K71">
        <f t="shared" si="22"/>
        <v>2.4656569214512154</v>
      </c>
      <c r="L71">
        <v>0</v>
      </c>
      <c r="M71">
        <f t="shared" si="23"/>
        <v>48872.282608695656</v>
      </c>
    </row>
    <row r="72" spans="1:13" ht="12.75">
      <c r="A72" s="7" t="s">
        <v>360</v>
      </c>
      <c r="B72">
        <v>32</v>
      </c>
      <c r="C72">
        <v>2</v>
      </c>
      <c r="D72">
        <f t="shared" si="16"/>
        <v>347</v>
      </c>
      <c r="E72">
        <v>400</v>
      </c>
      <c r="F72">
        <f t="shared" si="18"/>
        <v>1.1527377521613833</v>
      </c>
      <c r="G72" s="18">
        <f t="shared" si="19"/>
        <v>800</v>
      </c>
      <c r="H72" s="20">
        <f t="shared" si="17"/>
        <v>4424.25</v>
      </c>
      <c r="I72">
        <f t="shared" si="20"/>
        <v>138.2578125</v>
      </c>
      <c r="J72">
        <f t="shared" si="21"/>
        <v>2.817893624515675</v>
      </c>
      <c r="K72">
        <f t="shared" si="22"/>
        <v>2.817893624515675</v>
      </c>
      <c r="L72">
        <v>0</v>
      </c>
      <c r="M72">
        <f t="shared" si="23"/>
        <v>55303.125</v>
      </c>
    </row>
    <row r="73" spans="1:13" ht="12.75">
      <c r="A73" s="7" t="s">
        <v>361</v>
      </c>
      <c r="B73">
        <v>41</v>
      </c>
      <c r="C73">
        <v>2</v>
      </c>
      <c r="D73">
        <f t="shared" si="16"/>
        <v>394.25</v>
      </c>
      <c r="E73">
        <v>450</v>
      </c>
      <c r="F73">
        <f t="shared" si="18"/>
        <v>1.14140773620799</v>
      </c>
      <c r="G73" s="18">
        <f t="shared" si="19"/>
        <v>900.0000000000001</v>
      </c>
      <c r="H73" s="20">
        <f t="shared" si="17"/>
        <v>5650.916666666666</v>
      </c>
      <c r="I73">
        <f t="shared" si="20"/>
        <v>137.8272357723577</v>
      </c>
      <c r="J73">
        <f t="shared" si="21"/>
        <v>3.1701303275801345</v>
      </c>
      <c r="K73">
        <f t="shared" si="22"/>
        <v>3.1701303275801345</v>
      </c>
      <c r="L73">
        <v>0</v>
      </c>
      <c r="M73">
        <f t="shared" si="23"/>
        <v>62022.25609756097</v>
      </c>
    </row>
    <row r="74" spans="1:13" ht="12.75">
      <c r="A74" s="7" t="s">
        <v>362</v>
      </c>
      <c r="B74">
        <v>50</v>
      </c>
      <c r="C74">
        <v>2</v>
      </c>
      <c r="D74">
        <f t="shared" si="16"/>
        <v>441.5</v>
      </c>
      <c r="E74">
        <v>500</v>
      </c>
      <c r="F74">
        <f t="shared" si="18"/>
        <v>1.1325028312570782</v>
      </c>
      <c r="G74" s="18">
        <f t="shared" si="19"/>
        <v>1000</v>
      </c>
      <c r="H74" s="20">
        <f t="shared" si="17"/>
        <v>6887.4</v>
      </c>
      <c r="I74">
        <f t="shared" si="20"/>
        <v>137.748</v>
      </c>
      <c r="J74">
        <f t="shared" si="21"/>
        <v>3.5223670306445936</v>
      </c>
      <c r="K74">
        <f t="shared" si="22"/>
        <v>3.5223670306445936</v>
      </c>
      <c r="L74">
        <v>0</v>
      </c>
      <c r="M74">
        <f t="shared" si="23"/>
        <v>68874</v>
      </c>
    </row>
    <row r="75" spans="1:11" ht="12.75">
      <c r="A75" s="7" t="s">
        <v>364</v>
      </c>
      <c r="B75">
        <v>4</v>
      </c>
      <c r="C75">
        <v>2</v>
      </c>
      <c r="D75">
        <f t="shared" si="16"/>
        <v>200</v>
      </c>
      <c r="E75">
        <v>150</v>
      </c>
      <c r="F75">
        <f t="shared" si="18"/>
        <v>0.75</v>
      </c>
      <c r="G75" s="18">
        <f t="shared" si="19"/>
        <v>300</v>
      </c>
      <c r="H75" s="20">
        <f t="shared" si="17"/>
        <v>1200</v>
      </c>
      <c r="I75">
        <f t="shared" si="20"/>
        <v>300</v>
      </c>
      <c r="J75">
        <f t="shared" si="21"/>
        <v>1.056710109193378</v>
      </c>
      <c r="K75">
        <f t="shared" si="22"/>
        <v>1.056710109193378</v>
      </c>
    </row>
    <row r="76" spans="1:11" ht="12.75">
      <c r="A76" s="7" t="s">
        <v>363</v>
      </c>
      <c r="B76">
        <v>6</v>
      </c>
      <c r="C76">
        <v>2</v>
      </c>
      <c r="D76">
        <f t="shared" si="16"/>
        <v>210.5</v>
      </c>
      <c r="E76">
        <v>160</v>
      </c>
      <c r="F76">
        <f t="shared" si="18"/>
        <v>0.7600950118764845</v>
      </c>
      <c r="G76" s="18">
        <f t="shared" si="19"/>
        <v>320</v>
      </c>
      <c r="H76" s="20">
        <f t="shared" si="17"/>
        <v>1578.75</v>
      </c>
      <c r="I76">
        <f t="shared" si="20"/>
        <v>263.125</v>
      </c>
      <c r="J76">
        <f t="shared" si="21"/>
        <v>1.12715744980627</v>
      </c>
      <c r="K76">
        <f t="shared" si="22"/>
        <v>1.12715744980627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zoomScalePageLayoutView="0" workbookViewId="0" topLeftCell="A25">
      <selection activeCell="A43" sqref="A43"/>
    </sheetView>
  </sheetViews>
  <sheetFormatPr defaultColWidth="9.140625" defaultRowHeight="12.75"/>
  <cols>
    <col min="5" max="5" width="13.8515625" style="0" customWidth="1"/>
    <col min="6" max="6" width="10.7109375" style="0" customWidth="1"/>
    <col min="10" max="10" width="10.57421875" style="0" customWidth="1"/>
  </cols>
  <sheetData>
    <row r="1" spans="1:12" ht="13.5" thickBot="1">
      <c r="A1" s="5" t="s">
        <v>0</v>
      </c>
      <c r="B1" s="5" t="s">
        <v>111</v>
      </c>
      <c r="C1" s="6" t="s">
        <v>1</v>
      </c>
      <c r="D1" s="6" t="s">
        <v>328</v>
      </c>
      <c r="E1" s="6" t="s">
        <v>329</v>
      </c>
      <c r="F1" s="6" t="s">
        <v>330</v>
      </c>
      <c r="G1" s="6" t="s">
        <v>139</v>
      </c>
      <c r="H1" s="6" t="s">
        <v>9</v>
      </c>
      <c r="I1" s="2">
        <v>200</v>
      </c>
      <c r="J1" s="12" t="s">
        <v>327</v>
      </c>
      <c r="K1">
        <v>0.5</v>
      </c>
      <c r="L1">
        <v>5</v>
      </c>
    </row>
    <row r="2" spans="1:10" ht="12.75">
      <c r="A2" t="s">
        <v>101</v>
      </c>
      <c r="B2">
        <v>1</v>
      </c>
      <c r="C2">
        <v>7</v>
      </c>
      <c r="D2">
        <v>0.18</v>
      </c>
      <c r="E2">
        <f>2*PI()*D2</f>
        <v>1.1309733552923256</v>
      </c>
      <c r="F2">
        <v>0</v>
      </c>
      <c r="G2" s="15">
        <f>(0.8+(E2/4.5))+F2</f>
        <v>1.0513274122871836</v>
      </c>
      <c r="H2" s="16">
        <f aca="true" t="shared" si="0" ref="H2:H37">(wheff*(C2-massfactor))/(G2-gripfactor)</f>
        <v>725.521697425852</v>
      </c>
      <c r="J2">
        <v>0.1</v>
      </c>
    </row>
    <row r="3" spans="1:10" ht="12.75">
      <c r="A3" t="s">
        <v>102</v>
      </c>
      <c r="B3" t="s">
        <v>112</v>
      </c>
      <c r="C3">
        <v>6</v>
      </c>
      <c r="D3">
        <v>0.12</v>
      </c>
      <c r="E3">
        <f aca="true" t="shared" si="1" ref="E3:E42">2*PI()*D3</f>
        <v>0.7539822368615503</v>
      </c>
      <c r="F3">
        <v>0</v>
      </c>
      <c r="G3" s="15">
        <f aca="true" t="shared" si="2" ref="G3:G41">(0.8+(E3/4.5))+F3</f>
        <v>0.9675516081914557</v>
      </c>
      <c r="H3" s="16">
        <f t="shared" si="0"/>
        <v>427.7602653825177</v>
      </c>
      <c r="J3">
        <v>0.2</v>
      </c>
    </row>
    <row r="4" spans="1:10" ht="12.75">
      <c r="A4" t="s">
        <v>103</v>
      </c>
      <c r="B4" t="s">
        <v>112</v>
      </c>
      <c r="C4">
        <v>6.5</v>
      </c>
      <c r="D4">
        <v>0.12</v>
      </c>
      <c r="E4">
        <f t="shared" si="1"/>
        <v>0.7539822368615503</v>
      </c>
      <c r="F4">
        <v>0.1</v>
      </c>
      <c r="G4" s="15">
        <f t="shared" si="2"/>
        <v>1.0675516081914558</v>
      </c>
      <c r="H4" s="16">
        <f t="shared" si="0"/>
        <v>528.5862918369163</v>
      </c>
      <c r="J4">
        <v>0.3</v>
      </c>
    </row>
    <row r="5" spans="1:10" ht="12.75">
      <c r="A5" t="s">
        <v>109</v>
      </c>
      <c r="B5">
        <v>2</v>
      </c>
      <c r="C5">
        <v>7.5</v>
      </c>
      <c r="D5">
        <v>0.19</v>
      </c>
      <c r="E5">
        <f t="shared" si="1"/>
        <v>1.1938052083641213</v>
      </c>
      <c r="F5">
        <v>0</v>
      </c>
      <c r="G5" s="15">
        <f t="shared" si="2"/>
        <v>1.065290046303138</v>
      </c>
      <c r="H5" s="16">
        <f t="shared" si="0"/>
        <v>884.5016877086031</v>
      </c>
      <c r="J5">
        <v>0.2</v>
      </c>
    </row>
    <row r="6" spans="1:10" ht="12.75">
      <c r="A6" t="s">
        <v>104</v>
      </c>
      <c r="B6">
        <v>3</v>
      </c>
      <c r="C6">
        <v>8</v>
      </c>
      <c r="D6">
        <v>0.17</v>
      </c>
      <c r="E6">
        <f t="shared" si="1"/>
        <v>1.0681415022205298</v>
      </c>
      <c r="F6">
        <v>0</v>
      </c>
      <c r="G6" s="15">
        <f t="shared" si="2"/>
        <v>1.037364778271229</v>
      </c>
      <c r="H6" s="16">
        <f t="shared" si="0"/>
        <v>1116.5599686869625</v>
      </c>
      <c r="J6">
        <v>0.2</v>
      </c>
    </row>
    <row r="7" spans="1:10" ht="12.75">
      <c r="A7" t="s">
        <v>105</v>
      </c>
      <c r="B7">
        <v>4</v>
      </c>
      <c r="C7">
        <v>9</v>
      </c>
      <c r="D7">
        <v>0.2</v>
      </c>
      <c r="E7">
        <f t="shared" si="1"/>
        <v>1.2566370614359172</v>
      </c>
      <c r="F7">
        <v>0</v>
      </c>
      <c r="G7" s="15">
        <f t="shared" si="2"/>
        <v>1.0792526803190927</v>
      </c>
      <c r="H7" s="16">
        <f t="shared" si="0"/>
        <v>1381.0898545334383</v>
      </c>
      <c r="J7">
        <v>0.15</v>
      </c>
    </row>
    <row r="8" spans="1:10" ht="12.75">
      <c r="A8" t="s">
        <v>110</v>
      </c>
      <c r="B8">
        <v>5</v>
      </c>
      <c r="C8">
        <v>10</v>
      </c>
      <c r="D8">
        <v>0.17</v>
      </c>
      <c r="E8">
        <f t="shared" si="1"/>
        <v>1.0681415022205298</v>
      </c>
      <c r="F8">
        <v>0.075</v>
      </c>
      <c r="G8" s="15">
        <f t="shared" si="2"/>
        <v>1.112364778271229</v>
      </c>
      <c r="H8" s="16">
        <f t="shared" si="0"/>
        <v>1633.0135819096367</v>
      </c>
      <c r="J8">
        <v>0.25</v>
      </c>
    </row>
    <row r="9" spans="1:10" ht="12.75">
      <c r="A9" t="s">
        <v>140</v>
      </c>
      <c r="B9">
        <v>6</v>
      </c>
      <c r="C9">
        <v>10</v>
      </c>
      <c r="D9">
        <v>0.2</v>
      </c>
      <c r="E9">
        <f t="shared" si="1"/>
        <v>1.2566370614359172</v>
      </c>
      <c r="F9">
        <v>-0.15</v>
      </c>
      <c r="G9" s="15">
        <f t="shared" si="2"/>
        <v>0.9292526803190927</v>
      </c>
      <c r="H9" s="16">
        <f t="shared" si="0"/>
        <v>2329.6301825224064</v>
      </c>
      <c r="J9">
        <v>0.1</v>
      </c>
    </row>
    <row r="10" spans="1:10" ht="12.75">
      <c r="A10" t="s">
        <v>141</v>
      </c>
      <c r="B10" t="s">
        <v>112</v>
      </c>
      <c r="C10">
        <v>14</v>
      </c>
      <c r="D10">
        <v>0.225</v>
      </c>
      <c r="E10">
        <f t="shared" si="1"/>
        <v>1.413716694115407</v>
      </c>
      <c r="F10">
        <v>-0.1</v>
      </c>
      <c r="G10" s="15">
        <f t="shared" si="2"/>
        <v>1.0141592653589793</v>
      </c>
      <c r="H10" s="16">
        <f t="shared" si="0"/>
        <v>3500.8607668350846</v>
      </c>
      <c r="J10">
        <v>0.1</v>
      </c>
    </row>
    <row r="11" spans="1:10" ht="12.75">
      <c r="A11" t="s">
        <v>142</v>
      </c>
      <c r="B11" t="s">
        <v>112</v>
      </c>
      <c r="C11">
        <v>19.5</v>
      </c>
      <c r="D11">
        <v>0.25</v>
      </c>
      <c r="E11">
        <f t="shared" si="1"/>
        <v>1.5707963267948966</v>
      </c>
      <c r="F11">
        <v>-0.05</v>
      </c>
      <c r="G11" s="15">
        <f t="shared" si="2"/>
        <v>1.099065850398866</v>
      </c>
      <c r="H11" s="16">
        <f t="shared" si="0"/>
        <v>4840.870161550924</v>
      </c>
      <c r="J11">
        <v>0.1</v>
      </c>
    </row>
    <row r="12" spans="1:10" ht="12.75">
      <c r="A12" t="s">
        <v>106</v>
      </c>
      <c r="B12">
        <v>7</v>
      </c>
      <c r="C12">
        <v>10.5</v>
      </c>
      <c r="D12">
        <v>0.18</v>
      </c>
      <c r="E12">
        <f t="shared" si="1"/>
        <v>1.1309733552923256</v>
      </c>
      <c r="F12">
        <v>0.075</v>
      </c>
      <c r="G12" s="15">
        <f t="shared" si="2"/>
        <v>1.1263274122871836</v>
      </c>
      <c r="H12" s="16">
        <f t="shared" si="0"/>
        <v>1756.2699291463043</v>
      </c>
      <c r="J12">
        <v>0.2</v>
      </c>
    </row>
    <row r="13" spans="1:10" ht="12.75">
      <c r="A13" t="s">
        <v>113</v>
      </c>
      <c r="B13">
        <v>8</v>
      </c>
      <c r="C13">
        <v>11</v>
      </c>
      <c r="D13">
        <v>0.18</v>
      </c>
      <c r="E13">
        <f t="shared" si="1"/>
        <v>1.1309733552923256</v>
      </c>
      <c r="F13">
        <v>0</v>
      </c>
      <c r="G13" s="15">
        <f t="shared" si="2"/>
        <v>1.0513274122871836</v>
      </c>
      <c r="H13" s="16">
        <f t="shared" si="0"/>
        <v>2176.5650922775562</v>
      </c>
      <c r="J13">
        <v>0.3</v>
      </c>
    </row>
    <row r="14" spans="1:10" ht="12.75">
      <c r="A14" t="s">
        <v>114</v>
      </c>
      <c r="B14">
        <v>9</v>
      </c>
      <c r="C14">
        <v>12</v>
      </c>
      <c r="D14">
        <v>0.3</v>
      </c>
      <c r="E14">
        <f t="shared" si="1"/>
        <v>1.8849555921538759</v>
      </c>
      <c r="F14">
        <v>-0.05</v>
      </c>
      <c r="G14" s="15">
        <f t="shared" si="2"/>
        <v>1.168879020478639</v>
      </c>
      <c r="H14" s="16">
        <f t="shared" si="0"/>
        <v>2093.054135556805</v>
      </c>
      <c r="J14">
        <v>0.12</v>
      </c>
    </row>
    <row r="15" spans="1:10" ht="12.75">
      <c r="A15" t="s">
        <v>115</v>
      </c>
      <c r="B15">
        <v>10</v>
      </c>
      <c r="C15">
        <v>12.5</v>
      </c>
      <c r="D15">
        <v>0.25</v>
      </c>
      <c r="E15">
        <f t="shared" si="1"/>
        <v>1.5707963267948966</v>
      </c>
      <c r="F15">
        <v>0</v>
      </c>
      <c r="G15" s="15">
        <f t="shared" si="2"/>
        <v>1.149065850398866</v>
      </c>
      <c r="H15" s="16">
        <f t="shared" si="0"/>
        <v>2311.013588341176</v>
      </c>
      <c r="J15">
        <v>0.2</v>
      </c>
    </row>
    <row r="16" spans="1:10" ht="12.75">
      <c r="A16" t="s">
        <v>107</v>
      </c>
      <c r="B16">
        <v>11</v>
      </c>
      <c r="C16">
        <v>13</v>
      </c>
      <c r="D16">
        <v>0.24</v>
      </c>
      <c r="E16">
        <f t="shared" si="1"/>
        <v>1.5079644737231006</v>
      </c>
      <c r="F16">
        <v>0.01</v>
      </c>
      <c r="G16" s="15">
        <f>(0.8+(E16/4.5))+F16</f>
        <v>1.1451032163829113</v>
      </c>
      <c r="H16" s="16">
        <f t="shared" si="0"/>
        <v>2480.2232563204184</v>
      </c>
      <c r="J16">
        <v>0.25</v>
      </c>
    </row>
    <row r="17" spans="1:10" ht="12.75">
      <c r="A17" t="s">
        <v>108</v>
      </c>
      <c r="B17">
        <v>12</v>
      </c>
      <c r="C17">
        <v>13</v>
      </c>
      <c r="D17">
        <v>0.24</v>
      </c>
      <c r="E17">
        <f t="shared" si="1"/>
        <v>1.5079644737231006</v>
      </c>
      <c r="F17">
        <v>-0.01</v>
      </c>
      <c r="G17" s="15">
        <f t="shared" si="2"/>
        <v>1.1251032163829113</v>
      </c>
      <c r="H17" s="16">
        <f t="shared" si="0"/>
        <v>2559.577295503642</v>
      </c>
      <c r="J17">
        <v>0.25</v>
      </c>
    </row>
    <row r="18" spans="1:10" ht="12.75">
      <c r="A18" t="s">
        <v>116</v>
      </c>
      <c r="B18">
        <v>13</v>
      </c>
      <c r="C18">
        <v>14</v>
      </c>
      <c r="D18">
        <v>0.27</v>
      </c>
      <c r="E18">
        <f t="shared" si="1"/>
        <v>1.6964600329384885</v>
      </c>
      <c r="F18">
        <v>0</v>
      </c>
      <c r="G18" s="15">
        <f t="shared" si="2"/>
        <v>1.1769911184307753</v>
      </c>
      <c r="H18" s="16">
        <f t="shared" si="0"/>
        <v>2658.8236551349323</v>
      </c>
      <c r="J18">
        <v>0.2</v>
      </c>
    </row>
    <row r="19" spans="1:10" ht="12.75">
      <c r="A19" t="s">
        <v>117</v>
      </c>
      <c r="B19">
        <v>14</v>
      </c>
      <c r="C19">
        <v>15</v>
      </c>
      <c r="D19">
        <v>0.34</v>
      </c>
      <c r="E19">
        <f t="shared" si="1"/>
        <v>2.1362830044410597</v>
      </c>
      <c r="F19">
        <v>-0.025</v>
      </c>
      <c r="G19" s="15">
        <f t="shared" si="2"/>
        <v>1.2497295565424578</v>
      </c>
      <c r="H19" s="16">
        <f t="shared" si="0"/>
        <v>2667.6285902658533</v>
      </c>
      <c r="J19">
        <v>0.2</v>
      </c>
    </row>
    <row r="20" spans="1:10" ht="12.75">
      <c r="A20" t="s">
        <v>118</v>
      </c>
      <c r="B20">
        <v>15</v>
      </c>
      <c r="C20">
        <v>15</v>
      </c>
      <c r="D20">
        <v>0.32</v>
      </c>
      <c r="E20">
        <f t="shared" si="1"/>
        <v>2.0106192982974678</v>
      </c>
      <c r="F20">
        <v>0</v>
      </c>
      <c r="G20" s="15">
        <f t="shared" si="2"/>
        <v>1.2468042885105484</v>
      </c>
      <c r="H20" s="16">
        <f t="shared" si="0"/>
        <v>2678.0778187399906</v>
      </c>
      <c r="J20">
        <v>0.2</v>
      </c>
    </row>
    <row r="21" spans="1:10" ht="12.75">
      <c r="A21" t="s">
        <v>119</v>
      </c>
      <c r="B21">
        <v>16</v>
      </c>
      <c r="C21">
        <v>16</v>
      </c>
      <c r="D21">
        <v>0.28</v>
      </c>
      <c r="E21">
        <f t="shared" si="1"/>
        <v>1.7592918860102844</v>
      </c>
      <c r="F21">
        <v>0.05</v>
      </c>
      <c r="G21" s="15">
        <f t="shared" si="2"/>
        <v>1.24095375244673</v>
      </c>
      <c r="H21" s="16">
        <f t="shared" si="0"/>
        <v>2969.1461750956805</v>
      </c>
      <c r="J21">
        <v>0.2</v>
      </c>
    </row>
    <row r="22" spans="1:10" ht="12.75">
      <c r="A22" t="s">
        <v>120</v>
      </c>
      <c r="B22">
        <v>17</v>
      </c>
      <c r="C22">
        <v>17</v>
      </c>
      <c r="D22">
        <v>0.33</v>
      </c>
      <c r="E22">
        <f t="shared" si="1"/>
        <v>2.0734511513692637</v>
      </c>
      <c r="F22">
        <v>0</v>
      </c>
      <c r="G22" s="15">
        <f t="shared" si="2"/>
        <v>1.260766922526503</v>
      </c>
      <c r="H22" s="16">
        <f t="shared" si="0"/>
        <v>3154.7112905876775</v>
      </c>
      <c r="J22">
        <v>0.2</v>
      </c>
    </row>
    <row r="23" spans="1:10" ht="12.75">
      <c r="A23" t="s">
        <v>121</v>
      </c>
      <c r="B23">
        <v>18</v>
      </c>
      <c r="C23">
        <v>17.5</v>
      </c>
      <c r="D23">
        <v>0.38</v>
      </c>
      <c r="E23">
        <f t="shared" si="1"/>
        <v>2.3876104167282426</v>
      </c>
      <c r="F23">
        <v>-0.05</v>
      </c>
      <c r="G23" s="15">
        <f t="shared" si="2"/>
        <v>1.2805800926062763</v>
      </c>
      <c r="H23" s="16">
        <f t="shared" si="0"/>
        <v>3202.746295582249</v>
      </c>
      <c r="J23">
        <v>0.2</v>
      </c>
    </row>
    <row r="24" spans="1:10" ht="12.75">
      <c r="A24" t="s">
        <v>122</v>
      </c>
      <c r="B24">
        <v>19</v>
      </c>
      <c r="C24">
        <v>18</v>
      </c>
      <c r="D24">
        <v>0.27</v>
      </c>
      <c r="E24">
        <f t="shared" si="1"/>
        <v>1.6964600329384885</v>
      </c>
      <c r="F24">
        <v>0</v>
      </c>
      <c r="G24" s="15">
        <f t="shared" si="2"/>
        <v>1.1769911184307753</v>
      </c>
      <c r="H24" s="16">
        <f t="shared" si="0"/>
        <v>3840.5230574171246</v>
      </c>
      <c r="J24">
        <v>0.25</v>
      </c>
    </row>
    <row r="25" spans="1:10" ht="12.75">
      <c r="A25" t="s">
        <v>123</v>
      </c>
      <c r="B25">
        <v>20</v>
      </c>
      <c r="C25">
        <v>20</v>
      </c>
      <c r="D25">
        <v>0.53</v>
      </c>
      <c r="E25">
        <f t="shared" si="1"/>
        <v>3.330088212805181</v>
      </c>
      <c r="F25">
        <v>0</v>
      </c>
      <c r="G25" s="15">
        <f t="shared" si="2"/>
        <v>1.5400196028455957</v>
      </c>
      <c r="H25" s="16">
        <f t="shared" si="0"/>
        <v>2884.5610138421484</v>
      </c>
      <c r="J25">
        <v>0.1</v>
      </c>
    </row>
    <row r="26" spans="1:10" ht="12.75">
      <c r="A26" t="s">
        <v>137</v>
      </c>
      <c r="B26" t="s">
        <v>112</v>
      </c>
      <c r="C26">
        <v>22.5</v>
      </c>
      <c r="D26">
        <v>0.63</v>
      </c>
      <c r="E26">
        <f t="shared" si="1"/>
        <v>3.958406743523139</v>
      </c>
      <c r="F26">
        <v>0</v>
      </c>
      <c r="G26" s="15">
        <f t="shared" si="2"/>
        <v>1.679645943005142</v>
      </c>
      <c r="H26" s="16">
        <f t="shared" si="0"/>
        <v>2966.9919358038633</v>
      </c>
      <c r="J26">
        <v>0.1</v>
      </c>
    </row>
    <row r="27" spans="1:10" ht="12.75">
      <c r="A27" t="s">
        <v>138</v>
      </c>
      <c r="B27" t="s">
        <v>112</v>
      </c>
      <c r="C27">
        <v>25</v>
      </c>
      <c r="D27">
        <v>0.73</v>
      </c>
      <c r="E27">
        <f t="shared" si="1"/>
        <v>4.586725274241098</v>
      </c>
      <c r="F27">
        <v>0</v>
      </c>
      <c r="G27" s="15">
        <f t="shared" si="2"/>
        <v>1.8192722831646884</v>
      </c>
      <c r="H27" s="16">
        <f t="shared" si="0"/>
        <v>3031.9745597965157</v>
      </c>
      <c r="J27">
        <v>0.1</v>
      </c>
    </row>
    <row r="28" spans="1:10" ht="12.75">
      <c r="A28" t="s">
        <v>124</v>
      </c>
      <c r="B28">
        <v>21</v>
      </c>
      <c r="C28">
        <v>20</v>
      </c>
      <c r="D28">
        <v>0.39</v>
      </c>
      <c r="E28">
        <f t="shared" si="1"/>
        <v>2.4504422698000385</v>
      </c>
      <c r="F28">
        <v>0</v>
      </c>
      <c r="G28" s="15">
        <f t="shared" si="2"/>
        <v>1.344542726622231</v>
      </c>
      <c r="H28" s="16">
        <f t="shared" si="0"/>
        <v>3552.2181476816127</v>
      </c>
      <c r="J28">
        <v>0.25</v>
      </c>
    </row>
    <row r="29" spans="1:10" ht="12.75">
      <c r="A29" t="s">
        <v>125</v>
      </c>
      <c r="B29">
        <v>22</v>
      </c>
      <c r="C29">
        <v>20.5</v>
      </c>
      <c r="D29">
        <v>0.42</v>
      </c>
      <c r="E29">
        <f t="shared" si="1"/>
        <v>2.638937829015426</v>
      </c>
      <c r="F29">
        <v>0</v>
      </c>
      <c r="G29" s="15">
        <f t="shared" si="2"/>
        <v>1.3864306286700947</v>
      </c>
      <c r="H29" s="16">
        <f t="shared" si="0"/>
        <v>3497.1715774881413</v>
      </c>
      <c r="J29">
        <v>0.2</v>
      </c>
    </row>
    <row r="30" spans="1:10" ht="12.75">
      <c r="A30" t="s">
        <v>126</v>
      </c>
      <c r="B30">
        <v>23</v>
      </c>
      <c r="C30">
        <v>21</v>
      </c>
      <c r="D30">
        <v>0.41</v>
      </c>
      <c r="E30">
        <f t="shared" si="1"/>
        <v>2.57610597594363</v>
      </c>
      <c r="F30">
        <v>0</v>
      </c>
      <c r="G30" s="15">
        <f t="shared" si="2"/>
        <v>1.37246799465414</v>
      </c>
      <c r="H30" s="16">
        <f t="shared" si="0"/>
        <v>3667.7563184063047</v>
      </c>
      <c r="J30">
        <v>0.25</v>
      </c>
    </row>
    <row r="31" spans="1:10" ht="12.75">
      <c r="A31" t="s">
        <v>127</v>
      </c>
      <c r="B31">
        <v>24</v>
      </c>
      <c r="C31">
        <v>22</v>
      </c>
      <c r="D31">
        <v>0.3</v>
      </c>
      <c r="E31">
        <f t="shared" si="1"/>
        <v>1.8849555921538759</v>
      </c>
      <c r="F31">
        <v>0.1</v>
      </c>
      <c r="G31" s="15">
        <f t="shared" si="2"/>
        <v>1.3188790204786391</v>
      </c>
      <c r="H31" s="16">
        <f t="shared" si="0"/>
        <v>4152.017471411933</v>
      </c>
      <c r="J31">
        <v>0.3</v>
      </c>
    </row>
    <row r="32" spans="1:10" ht="12.75">
      <c r="A32" t="s">
        <v>128</v>
      </c>
      <c r="B32">
        <v>25</v>
      </c>
      <c r="C32">
        <v>23</v>
      </c>
      <c r="D32">
        <v>0.37</v>
      </c>
      <c r="E32">
        <f t="shared" si="1"/>
        <v>2.324778563656447</v>
      </c>
      <c r="F32">
        <v>-0.1</v>
      </c>
      <c r="G32" s="15">
        <f t="shared" si="2"/>
        <v>1.2166174585903216</v>
      </c>
      <c r="H32" s="16">
        <f t="shared" si="0"/>
        <v>5023.600746598697</v>
      </c>
      <c r="J32">
        <v>0.25</v>
      </c>
    </row>
    <row r="33" spans="1:10" ht="12.75">
      <c r="A33" t="s">
        <v>129</v>
      </c>
      <c r="B33">
        <v>26</v>
      </c>
      <c r="C33">
        <v>25</v>
      </c>
      <c r="D33">
        <v>0.54</v>
      </c>
      <c r="E33">
        <f t="shared" si="1"/>
        <v>3.392920065876977</v>
      </c>
      <c r="F33">
        <v>0</v>
      </c>
      <c r="G33" s="15">
        <f t="shared" si="2"/>
        <v>1.5539822368615503</v>
      </c>
      <c r="H33" s="16">
        <f t="shared" si="0"/>
        <v>3795.1303732696915</v>
      </c>
      <c r="J33">
        <v>0.1</v>
      </c>
    </row>
    <row r="34" spans="1:10" ht="12.75">
      <c r="A34" t="s">
        <v>130</v>
      </c>
      <c r="B34">
        <v>27</v>
      </c>
      <c r="C34">
        <v>30</v>
      </c>
      <c r="D34">
        <v>0.5</v>
      </c>
      <c r="E34">
        <f t="shared" si="1"/>
        <v>3.141592653589793</v>
      </c>
      <c r="F34">
        <v>0</v>
      </c>
      <c r="G34" s="15">
        <f t="shared" si="2"/>
        <v>1.4981317007977317</v>
      </c>
      <c r="H34" s="16">
        <f t="shared" si="0"/>
        <v>5009.358981388804</v>
      </c>
      <c r="J34">
        <v>0.25</v>
      </c>
    </row>
    <row r="35" spans="1:10" ht="12.75">
      <c r="A35" t="s">
        <v>131</v>
      </c>
      <c r="B35">
        <v>28</v>
      </c>
      <c r="C35">
        <v>35</v>
      </c>
      <c r="D35">
        <v>0.55</v>
      </c>
      <c r="E35">
        <f t="shared" si="1"/>
        <v>3.455751918948773</v>
      </c>
      <c r="F35">
        <v>0</v>
      </c>
      <c r="G35" s="15">
        <f t="shared" si="2"/>
        <v>1.567944870877505</v>
      </c>
      <c r="H35" s="16">
        <f t="shared" si="0"/>
        <v>5618.267537602332</v>
      </c>
      <c r="J35">
        <v>0.2</v>
      </c>
    </row>
    <row r="36" spans="1:10" ht="12.75">
      <c r="A36" t="s">
        <v>132</v>
      </c>
      <c r="B36">
        <v>29</v>
      </c>
      <c r="C36">
        <v>40</v>
      </c>
      <c r="D36">
        <v>0.55</v>
      </c>
      <c r="E36">
        <f t="shared" si="1"/>
        <v>3.455751918948773</v>
      </c>
      <c r="F36">
        <v>0</v>
      </c>
      <c r="G36" s="15">
        <f t="shared" si="2"/>
        <v>1.567944870877505</v>
      </c>
      <c r="H36" s="16">
        <f t="shared" si="0"/>
        <v>6554.645460536053</v>
      </c>
      <c r="J36">
        <v>0.25</v>
      </c>
    </row>
    <row r="37" spans="1:10" ht="12.75">
      <c r="A37" t="s">
        <v>133</v>
      </c>
      <c r="B37">
        <v>30</v>
      </c>
      <c r="C37">
        <v>45</v>
      </c>
      <c r="D37">
        <v>0.5</v>
      </c>
      <c r="E37">
        <f t="shared" si="1"/>
        <v>3.141592653589793</v>
      </c>
      <c r="F37">
        <v>-0.2</v>
      </c>
      <c r="G37" s="15">
        <f t="shared" si="2"/>
        <v>1.2981317007977318</v>
      </c>
      <c r="H37" s="16">
        <f t="shared" si="0"/>
        <v>10023.408407414476</v>
      </c>
      <c r="J37">
        <v>0.1</v>
      </c>
    </row>
    <row r="38" spans="1:10" ht="12.75">
      <c r="A38" t="s">
        <v>134</v>
      </c>
      <c r="B38">
        <v>31</v>
      </c>
      <c r="C38">
        <v>26</v>
      </c>
      <c r="G38" s="15">
        <v>0.8</v>
      </c>
      <c r="H38">
        <f>C38*400</f>
        <v>10400</v>
      </c>
      <c r="J38">
        <v>1</v>
      </c>
    </row>
    <row r="39" spans="1:10" ht="12.75">
      <c r="A39" t="s">
        <v>135</v>
      </c>
      <c r="B39">
        <v>32</v>
      </c>
      <c r="C39">
        <v>40</v>
      </c>
      <c r="G39" s="15">
        <v>0.9</v>
      </c>
      <c r="H39">
        <f>C39*400</f>
        <v>16000</v>
      </c>
      <c r="J39">
        <v>1</v>
      </c>
    </row>
    <row r="40" spans="1:10" ht="12.75">
      <c r="A40" t="s">
        <v>136</v>
      </c>
      <c r="B40">
        <v>33</v>
      </c>
      <c r="C40">
        <v>60</v>
      </c>
      <c r="G40" s="15">
        <v>1</v>
      </c>
      <c r="H40">
        <f>C40*400</f>
        <v>24000</v>
      </c>
      <c r="J40">
        <v>1</v>
      </c>
    </row>
    <row r="41" spans="1:10" ht="12.75">
      <c r="A41" t="s">
        <v>658</v>
      </c>
      <c r="B41" t="s">
        <v>112</v>
      </c>
      <c r="C41">
        <v>25</v>
      </c>
      <c r="D41">
        <v>0.48</v>
      </c>
      <c r="E41">
        <f t="shared" si="1"/>
        <v>3.015928947446201</v>
      </c>
      <c r="F41">
        <v>0</v>
      </c>
      <c r="G41" s="15">
        <f t="shared" si="2"/>
        <v>1.4702064327658224</v>
      </c>
      <c r="H41" s="16">
        <f>(wheff*(C41-massfactor))/(G41-gripfactor)</f>
        <v>4122.833929885389</v>
      </c>
      <c r="J41">
        <v>0.25</v>
      </c>
    </row>
    <row r="42" spans="1:10" ht="12.75">
      <c r="A42" t="s">
        <v>664</v>
      </c>
      <c r="B42">
        <v>2</v>
      </c>
      <c r="C42">
        <v>7</v>
      </c>
      <c r="D42">
        <v>0.22</v>
      </c>
      <c r="E42">
        <f t="shared" si="1"/>
        <v>1.382300767579509</v>
      </c>
      <c r="F42">
        <v>-0.31</v>
      </c>
      <c r="G42" s="15">
        <f>(0.8+(E42/4.5))+F42</f>
        <v>0.797177948351002</v>
      </c>
      <c r="H42" s="16">
        <f>(wheff*(C42-massfactor))/(G42-gripfactor)</f>
        <v>1345.9948903326876</v>
      </c>
      <c r="J42">
        <v>0.15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203"/>
  <sheetViews>
    <sheetView zoomScalePageLayoutView="0" workbookViewId="0" topLeftCell="A1">
      <selection activeCell="A83" sqref="A83"/>
    </sheetView>
  </sheetViews>
  <sheetFormatPr defaultColWidth="9.140625" defaultRowHeight="12.75"/>
  <cols>
    <col min="1" max="1" width="21.140625" style="0" customWidth="1"/>
  </cols>
  <sheetData>
    <row r="1" spans="1:4" ht="13.5" thickBot="1">
      <c r="A1" s="2" t="s">
        <v>0</v>
      </c>
      <c r="B1" s="2" t="s">
        <v>1</v>
      </c>
      <c r="C1" s="2" t="s">
        <v>9</v>
      </c>
      <c r="D1" s="12" t="s">
        <v>13</v>
      </c>
    </row>
    <row r="2" spans="1:4" ht="12.75">
      <c r="A2" s="11" t="s">
        <v>145</v>
      </c>
      <c r="B2" s="11">
        <v>0.5</v>
      </c>
      <c r="C2" s="11">
        <v>50</v>
      </c>
      <c r="D2">
        <v>200</v>
      </c>
    </row>
    <row r="3" spans="1:4" ht="12.75">
      <c r="A3" t="s">
        <v>143</v>
      </c>
      <c r="B3">
        <v>1</v>
      </c>
      <c r="C3" s="11">
        <v>100</v>
      </c>
      <c r="D3">
        <v>200</v>
      </c>
    </row>
    <row r="4" spans="1:4" ht="12.75">
      <c r="A4" t="s">
        <v>144</v>
      </c>
      <c r="B4">
        <v>2</v>
      </c>
      <c r="C4" s="11">
        <v>200</v>
      </c>
      <c r="D4">
        <v>200</v>
      </c>
    </row>
    <row r="5" spans="1:4" ht="12.75">
      <c r="A5" t="s">
        <v>146</v>
      </c>
      <c r="B5">
        <v>3</v>
      </c>
      <c r="C5" s="11">
        <v>300</v>
      </c>
      <c r="D5">
        <f aca="true" t="shared" si="0" ref="D5:D66">IF((10-B5)&gt;6,300,IF((10-B5)&gt;0,((10-B5)*50),0))</f>
        <v>300</v>
      </c>
    </row>
    <row r="6" spans="1:4" ht="12.75">
      <c r="A6" t="s">
        <v>147</v>
      </c>
      <c r="B6">
        <v>4</v>
      </c>
      <c r="C6" s="11">
        <v>400</v>
      </c>
      <c r="D6">
        <v>400</v>
      </c>
    </row>
    <row r="7" spans="1:4" ht="12.75">
      <c r="A7" t="s">
        <v>148</v>
      </c>
      <c r="B7">
        <v>5</v>
      </c>
      <c r="C7" s="11">
        <v>500</v>
      </c>
      <c r="D7">
        <v>500</v>
      </c>
    </row>
    <row r="8" spans="1:4" ht="12.75">
      <c r="A8" t="s">
        <v>149</v>
      </c>
      <c r="B8">
        <v>6</v>
      </c>
      <c r="C8" s="11">
        <v>600</v>
      </c>
      <c r="D8">
        <v>600</v>
      </c>
    </row>
    <row r="9" spans="1:4" ht="12.75">
      <c r="A9" t="s">
        <v>150</v>
      </c>
      <c r="B9">
        <v>0.75</v>
      </c>
      <c r="C9" s="11">
        <f aca="true" t="shared" si="1" ref="C9:C66">B9*400</f>
        <v>300</v>
      </c>
      <c r="D9">
        <v>0</v>
      </c>
    </row>
    <row r="10" spans="1:4" ht="12.75">
      <c r="A10" t="s">
        <v>151</v>
      </c>
      <c r="B10">
        <v>1.5</v>
      </c>
      <c r="C10" s="11">
        <f t="shared" si="1"/>
        <v>600</v>
      </c>
      <c r="D10">
        <v>0</v>
      </c>
    </row>
    <row r="11" spans="1:4" ht="12.75">
      <c r="A11" t="s">
        <v>152</v>
      </c>
      <c r="B11">
        <v>3</v>
      </c>
      <c r="C11" s="11">
        <f t="shared" si="1"/>
        <v>1200</v>
      </c>
      <c r="D11">
        <v>0</v>
      </c>
    </row>
    <row r="12" spans="1:4" ht="12.75">
      <c r="A12" t="s">
        <v>153</v>
      </c>
      <c r="B12">
        <v>4.5</v>
      </c>
      <c r="C12" s="11">
        <f t="shared" si="1"/>
        <v>1800</v>
      </c>
      <c r="D12">
        <v>0</v>
      </c>
    </row>
    <row r="13" spans="1:4" ht="12.75">
      <c r="A13" t="s">
        <v>154</v>
      </c>
      <c r="B13">
        <v>6</v>
      </c>
      <c r="C13" s="11">
        <f t="shared" si="1"/>
        <v>2400</v>
      </c>
      <c r="D13">
        <v>0</v>
      </c>
    </row>
    <row r="14" spans="1:4" ht="12.75">
      <c r="A14" t="s">
        <v>155</v>
      </c>
      <c r="B14">
        <v>7.5</v>
      </c>
      <c r="C14" s="11">
        <f t="shared" si="1"/>
        <v>3000</v>
      </c>
      <c r="D14">
        <v>0</v>
      </c>
    </row>
    <row r="15" spans="1:4" ht="12.75">
      <c r="A15" t="s">
        <v>156</v>
      </c>
      <c r="B15">
        <v>9</v>
      </c>
      <c r="C15" s="11">
        <f t="shared" si="1"/>
        <v>3600</v>
      </c>
      <c r="D15">
        <v>0</v>
      </c>
    </row>
    <row r="16" spans="1:4" ht="12.75">
      <c r="A16" t="s">
        <v>157</v>
      </c>
      <c r="B16">
        <v>1</v>
      </c>
      <c r="C16" s="11">
        <f t="shared" si="1"/>
        <v>400</v>
      </c>
      <c r="D16">
        <v>300</v>
      </c>
    </row>
    <row r="17" spans="1:4" ht="12.75">
      <c r="A17" t="s">
        <v>158</v>
      </c>
      <c r="B17">
        <v>2</v>
      </c>
      <c r="C17" s="11">
        <f t="shared" si="1"/>
        <v>800</v>
      </c>
      <c r="D17">
        <v>300</v>
      </c>
    </row>
    <row r="18" spans="1:4" ht="12.75">
      <c r="A18" t="s">
        <v>159</v>
      </c>
      <c r="B18">
        <v>4</v>
      </c>
      <c r="C18" s="11">
        <f t="shared" si="1"/>
        <v>1600</v>
      </c>
      <c r="D18">
        <v>300</v>
      </c>
    </row>
    <row r="19" spans="1:4" ht="12.75">
      <c r="A19" t="s">
        <v>160</v>
      </c>
      <c r="B19">
        <v>6</v>
      </c>
      <c r="C19" s="11">
        <f t="shared" si="1"/>
        <v>2400</v>
      </c>
      <c r="D19">
        <v>300</v>
      </c>
    </row>
    <row r="20" spans="1:4" ht="12.75">
      <c r="A20" t="s">
        <v>161</v>
      </c>
      <c r="B20">
        <v>8</v>
      </c>
      <c r="C20" s="11">
        <f t="shared" si="1"/>
        <v>3200</v>
      </c>
      <c r="D20">
        <v>300</v>
      </c>
    </row>
    <row r="21" spans="1:4" ht="12.75">
      <c r="A21" t="s">
        <v>162</v>
      </c>
      <c r="B21">
        <v>10</v>
      </c>
      <c r="C21" s="11">
        <f t="shared" si="1"/>
        <v>4000</v>
      </c>
      <c r="D21">
        <v>300</v>
      </c>
    </row>
    <row r="22" spans="1:4" ht="12.75">
      <c r="A22" t="s">
        <v>163</v>
      </c>
      <c r="B22">
        <v>12</v>
      </c>
      <c r="C22" s="11">
        <f t="shared" si="1"/>
        <v>4800</v>
      </c>
      <c r="D22">
        <v>300</v>
      </c>
    </row>
    <row r="23" spans="1:4" ht="12.75">
      <c r="A23" t="s">
        <v>164</v>
      </c>
      <c r="B23">
        <v>2</v>
      </c>
      <c r="C23" s="11">
        <f t="shared" si="1"/>
        <v>800</v>
      </c>
      <c r="D23">
        <v>500</v>
      </c>
    </row>
    <row r="24" spans="1:4" ht="12.75">
      <c r="A24" t="s">
        <v>165</v>
      </c>
      <c r="B24">
        <v>4</v>
      </c>
      <c r="C24" s="11">
        <f t="shared" si="1"/>
        <v>1600</v>
      </c>
      <c r="D24">
        <v>500</v>
      </c>
    </row>
    <row r="25" spans="1:4" ht="12.75">
      <c r="A25" t="s">
        <v>166</v>
      </c>
      <c r="B25">
        <v>8</v>
      </c>
      <c r="C25" s="11">
        <f t="shared" si="1"/>
        <v>3200</v>
      </c>
      <c r="D25">
        <v>500</v>
      </c>
    </row>
    <row r="26" spans="1:4" ht="12.75">
      <c r="A26" t="s">
        <v>167</v>
      </c>
      <c r="B26">
        <v>12</v>
      </c>
      <c r="C26" s="11">
        <f t="shared" si="1"/>
        <v>4800</v>
      </c>
      <c r="D26">
        <v>500</v>
      </c>
    </row>
    <row r="27" spans="1:4" ht="12.75">
      <c r="A27" t="s">
        <v>168</v>
      </c>
      <c r="B27">
        <v>16</v>
      </c>
      <c r="C27" s="11">
        <f t="shared" si="1"/>
        <v>6400</v>
      </c>
      <c r="D27">
        <v>500</v>
      </c>
    </row>
    <row r="28" spans="1:4" ht="12.75">
      <c r="A28" t="s">
        <v>169</v>
      </c>
      <c r="B28">
        <v>20</v>
      </c>
      <c r="C28" s="11">
        <f t="shared" si="1"/>
        <v>8000</v>
      </c>
      <c r="D28">
        <v>500</v>
      </c>
    </row>
    <row r="29" spans="1:4" ht="12.75">
      <c r="A29" t="s">
        <v>170</v>
      </c>
      <c r="B29">
        <v>24</v>
      </c>
      <c r="C29" s="11">
        <f t="shared" si="1"/>
        <v>9600</v>
      </c>
      <c r="D29">
        <v>500</v>
      </c>
    </row>
    <row r="30" spans="1:4" ht="12.75">
      <c r="A30" t="s">
        <v>171</v>
      </c>
      <c r="B30">
        <v>4</v>
      </c>
      <c r="C30" s="11">
        <f t="shared" si="1"/>
        <v>1600</v>
      </c>
      <c r="D30">
        <f t="shared" si="0"/>
        <v>300</v>
      </c>
    </row>
    <row r="31" spans="1:4" ht="12.75">
      <c r="A31" t="s">
        <v>172</v>
      </c>
      <c r="B31">
        <v>6</v>
      </c>
      <c r="C31" s="11">
        <f t="shared" si="1"/>
        <v>2400</v>
      </c>
      <c r="D31">
        <f t="shared" si="0"/>
        <v>200</v>
      </c>
    </row>
    <row r="32" spans="1:4" ht="12.75">
      <c r="A32" t="s">
        <v>173</v>
      </c>
      <c r="B32">
        <v>8</v>
      </c>
      <c r="C32" s="11">
        <f t="shared" si="1"/>
        <v>3200</v>
      </c>
      <c r="D32">
        <f t="shared" si="0"/>
        <v>100</v>
      </c>
    </row>
    <row r="33" spans="1:4" ht="12.75">
      <c r="A33" t="s">
        <v>174</v>
      </c>
      <c r="B33">
        <v>6</v>
      </c>
      <c r="C33" s="11">
        <f t="shared" si="1"/>
        <v>2400</v>
      </c>
      <c r="D33">
        <f t="shared" si="0"/>
        <v>200</v>
      </c>
    </row>
    <row r="34" spans="1:4" ht="12.75">
      <c r="A34" t="s">
        <v>175</v>
      </c>
      <c r="B34">
        <v>9</v>
      </c>
      <c r="C34" s="11">
        <f t="shared" si="1"/>
        <v>3600</v>
      </c>
      <c r="D34">
        <f t="shared" si="0"/>
        <v>50</v>
      </c>
    </row>
    <row r="35" spans="1:4" ht="12.75">
      <c r="A35" t="s">
        <v>176</v>
      </c>
      <c r="B35">
        <v>12</v>
      </c>
      <c r="C35" s="11">
        <f t="shared" si="1"/>
        <v>4800</v>
      </c>
      <c r="D35">
        <f t="shared" si="0"/>
        <v>0</v>
      </c>
    </row>
    <row r="36" spans="1:4" ht="12.75">
      <c r="A36" t="s">
        <v>177</v>
      </c>
      <c r="B36">
        <v>8</v>
      </c>
      <c r="C36" s="11">
        <f t="shared" si="1"/>
        <v>3200</v>
      </c>
      <c r="D36">
        <f t="shared" si="0"/>
        <v>100</v>
      </c>
    </row>
    <row r="37" spans="1:4" ht="12.75">
      <c r="A37" t="s">
        <v>178</v>
      </c>
      <c r="B37">
        <v>12</v>
      </c>
      <c r="C37" s="11">
        <f t="shared" si="1"/>
        <v>4800</v>
      </c>
      <c r="D37">
        <f t="shared" si="0"/>
        <v>0</v>
      </c>
    </row>
    <row r="38" spans="1:4" ht="12.75">
      <c r="A38" t="s">
        <v>179</v>
      </c>
      <c r="B38">
        <v>16</v>
      </c>
      <c r="C38" s="11">
        <f t="shared" si="1"/>
        <v>6400</v>
      </c>
      <c r="D38">
        <f t="shared" si="0"/>
        <v>0</v>
      </c>
    </row>
    <row r="39" spans="1:4" ht="12.75">
      <c r="A39" t="s">
        <v>180</v>
      </c>
      <c r="B39">
        <v>3</v>
      </c>
      <c r="C39" s="11">
        <f t="shared" si="1"/>
        <v>1200</v>
      </c>
      <c r="D39">
        <f t="shared" si="0"/>
        <v>300</v>
      </c>
    </row>
    <row r="40" spans="1:4" ht="12.75">
      <c r="A40" t="s">
        <v>181</v>
      </c>
      <c r="B40">
        <v>8</v>
      </c>
      <c r="C40" s="11">
        <f t="shared" si="1"/>
        <v>3200</v>
      </c>
      <c r="D40">
        <f t="shared" si="0"/>
        <v>100</v>
      </c>
    </row>
    <row r="41" spans="1:4" ht="12.75">
      <c r="A41" t="s">
        <v>182</v>
      </c>
      <c r="B41">
        <v>15</v>
      </c>
      <c r="C41" s="11">
        <f t="shared" si="1"/>
        <v>6000</v>
      </c>
      <c r="D41">
        <f t="shared" si="0"/>
        <v>0</v>
      </c>
    </row>
    <row r="42" spans="1:4" ht="12.75">
      <c r="A42" t="s">
        <v>183</v>
      </c>
      <c r="B42">
        <v>20</v>
      </c>
      <c r="C42" s="11">
        <f t="shared" si="1"/>
        <v>8000</v>
      </c>
      <c r="D42">
        <f t="shared" si="0"/>
        <v>0</v>
      </c>
    </row>
    <row r="43" spans="1:4" ht="12.75">
      <c r="A43" t="s">
        <v>184</v>
      </c>
      <c r="B43">
        <v>25</v>
      </c>
      <c r="C43" s="11">
        <f t="shared" si="1"/>
        <v>10000</v>
      </c>
      <c r="D43">
        <f t="shared" si="0"/>
        <v>0</v>
      </c>
    </row>
    <row r="44" spans="1:4" ht="12.75">
      <c r="A44" t="s">
        <v>185</v>
      </c>
      <c r="B44">
        <v>30</v>
      </c>
      <c r="C44" s="11">
        <f t="shared" si="1"/>
        <v>12000</v>
      </c>
      <c r="D44">
        <f t="shared" si="0"/>
        <v>0</v>
      </c>
    </row>
    <row r="45" spans="1:4" ht="12.75">
      <c r="A45" t="s">
        <v>186</v>
      </c>
      <c r="B45">
        <v>75</v>
      </c>
      <c r="C45" s="11">
        <f t="shared" si="1"/>
        <v>30000</v>
      </c>
      <c r="D45">
        <f t="shared" si="0"/>
        <v>0</v>
      </c>
    </row>
    <row r="46" spans="1:4" ht="12.75">
      <c r="A46" t="s">
        <v>187</v>
      </c>
      <c r="B46">
        <v>4</v>
      </c>
      <c r="C46" s="11">
        <f t="shared" si="1"/>
        <v>1600</v>
      </c>
      <c r="D46">
        <f t="shared" si="0"/>
        <v>300</v>
      </c>
    </row>
    <row r="47" spans="1:4" ht="12.75">
      <c r="A47" t="s">
        <v>188</v>
      </c>
      <c r="B47">
        <v>2</v>
      </c>
      <c r="C47" s="11">
        <f t="shared" si="1"/>
        <v>800</v>
      </c>
      <c r="D47">
        <f t="shared" si="0"/>
        <v>300</v>
      </c>
    </row>
    <row r="48" spans="1:4" ht="12.75">
      <c r="A48" t="s">
        <v>194</v>
      </c>
      <c r="B48">
        <v>10</v>
      </c>
      <c r="C48" s="11">
        <f t="shared" si="1"/>
        <v>4000</v>
      </c>
      <c r="D48">
        <f t="shared" si="0"/>
        <v>0</v>
      </c>
    </row>
    <row r="49" spans="1:4" ht="12.75">
      <c r="A49" t="s">
        <v>189</v>
      </c>
      <c r="B49">
        <v>15</v>
      </c>
      <c r="C49" s="11">
        <f t="shared" si="1"/>
        <v>6000</v>
      </c>
      <c r="D49">
        <f t="shared" si="0"/>
        <v>0</v>
      </c>
    </row>
    <row r="50" spans="1:4" ht="12.75">
      <c r="A50" t="s">
        <v>190</v>
      </c>
      <c r="B50">
        <v>20</v>
      </c>
      <c r="C50" s="11">
        <f t="shared" si="1"/>
        <v>8000</v>
      </c>
      <c r="D50">
        <f t="shared" si="0"/>
        <v>0</v>
      </c>
    </row>
    <row r="51" spans="1:4" ht="12.75">
      <c r="A51" t="s">
        <v>191</v>
      </c>
      <c r="B51">
        <v>25</v>
      </c>
      <c r="C51" s="11">
        <f t="shared" si="1"/>
        <v>10000</v>
      </c>
      <c r="D51">
        <f t="shared" si="0"/>
        <v>0</v>
      </c>
    </row>
    <row r="52" spans="1:4" ht="12.75">
      <c r="A52" t="s">
        <v>192</v>
      </c>
      <c r="B52">
        <v>30</v>
      </c>
      <c r="C52" s="11">
        <f t="shared" si="1"/>
        <v>12000</v>
      </c>
      <c r="D52">
        <f t="shared" si="0"/>
        <v>0</v>
      </c>
    </row>
    <row r="53" spans="1:4" ht="12.75">
      <c r="A53" t="s">
        <v>193</v>
      </c>
      <c r="B53">
        <v>35</v>
      </c>
      <c r="C53" s="11">
        <f t="shared" si="1"/>
        <v>14000</v>
      </c>
      <c r="D53">
        <f t="shared" si="0"/>
        <v>0</v>
      </c>
    </row>
    <row r="54" spans="1:4" ht="12.75">
      <c r="A54" t="s">
        <v>195</v>
      </c>
      <c r="B54">
        <v>7</v>
      </c>
      <c r="C54" s="11">
        <f t="shared" si="1"/>
        <v>2800</v>
      </c>
      <c r="D54">
        <f t="shared" si="0"/>
        <v>150</v>
      </c>
    </row>
    <row r="55" spans="1:4" ht="12.75">
      <c r="A55" t="s">
        <v>196</v>
      </c>
      <c r="B55">
        <v>10.5</v>
      </c>
      <c r="C55" s="11">
        <f t="shared" si="1"/>
        <v>4200</v>
      </c>
      <c r="D55">
        <f t="shared" si="0"/>
        <v>0</v>
      </c>
    </row>
    <row r="56" spans="1:4" ht="12.75">
      <c r="A56" t="s">
        <v>197</v>
      </c>
      <c r="B56">
        <v>14</v>
      </c>
      <c r="C56" s="11">
        <f t="shared" si="1"/>
        <v>5600</v>
      </c>
      <c r="D56">
        <f t="shared" si="0"/>
        <v>0</v>
      </c>
    </row>
    <row r="57" spans="1:4" ht="12.75">
      <c r="A57" t="s">
        <v>200</v>
      </c>
      <c r="B57">
        <v>4</v>
      </c>
      <c r="C57" s="11">
        <f t="shared" si="1"/>
        <v>1600</v>
      </c>
      <c r="D57">
        <f t="shared" si="0"/>
        <v>300</v>
      </c>
    </row>
    <row r="58" spans="1:4" ht="12.75">
      <c r="A58" t="s">
        <v>198</v>
      </c>
      <c r="B58">
        <v>4.25</v>
      </c>
      <c r="C58" s="11">
        <f t="shared" si="1"/>
        <v>1700</v>
      </c>
      <c r="D58">
        <f t="shared" si="0"/>
        <v>287.5</v>
      </c>
    </row>
    <row r="59" spans="1:4" ht="12.75">
      <c r="A59" t="s">
        <v>201</v>
      </c>
      <c r="B59">
        <v>4.5</v>
      </c>
      <c r="C59" s="11">
        <f t="shared" si="1"/>
        <v>1800</v>
      </c>
      <c r="D59">
        <f t="shared" si="0"/>
        <v>275</v>
      </c>
    </row>
    <row r="60" spans="1:4" ht="12.75">
      <c r="A60" t="s">
        <v>199</v>
      </c>
      <c r="B60">
        <v>4.75</v>
      </c>
      <c r="C60" s="11">
        <f t="shared" si="1"/>
        <v>1900</v>
      </c>
      <c r="D60">
        <f t="shared" si="0"/>
        <v>262.5</v>
      </c>
    </row>
    <row r="61" spans="1:4" ht="12.75">
      <c r="A61" t="s">
        <v>202</v>
      </c>
      <c r="B61">
        <v>6.25</v>
      </c>
      <c r="C61" s="11">
        <f t="shared" si="1"/>
        <v>2500</v>
      </c>
      <c r="D61">
        <f t="shared" si="0"/>
        <v>187.5</v>
      </c>
    </row>
    <row r="62" spans="1:4" ht="12.75">
      <c r="A62" t="s">
        <v>203</v>
      </c>
      <c r="B62">
        <v>6</v>
      </c>
      <c r="C62" s="11">
        <f t="shared" si="1"/>
        <v>2400</v>
      </c>
      <c r="D62">
        <f t="shared" si="0"/>
        <v>200</v>
      </c>
    </row>
    <row r="63" spans="1:4" ht="12.75">
      <c r="A63" t="s">
        <v>204</v>
      </c>
      <c r="B63">
        <v>5.75</v>
      </c>
      <c r="C63" s="11">
        <f t="shared" si="1"/>
        <v>2300</v>
      </c>
      <c r="D63">
        <f t="shared" si="0"/>
        <v>212.5</v>
      </c>
    </row>
    <row r="64" spans="1:4" ht="12.75">
      <c r="A64" t="s">
        <v>205</v>
      </c>
      <c r="B64">
        <v>5.5</v>
      </c>
      <c r="C64" s="11">
        <f t="shared" si="1"/>
        <v>2200</v>
      </c>
      <c r="D64">
        <f t="shared" si="0"/>
        <v>225</v>
      </c>
    </row>
    <row r="65" spans="1:4" ht="12.75">
      <c r="A65" t="s">
        <v>206</v>
      </c>
      <c r="B65">
        <v>6.5</v>
      </c>
      <c r="C65" s="11">
        <f t="shared" si="1"/>
        <v>2600</v>
      </c>
      <c r="D65">
        <f t="shared" si="0"/>
        <v>175</v>
      </c>
    </row>
    <row r="66" spans="1:4" ht="12.75">
      <c r="A66" t="s">
        <v>207</v>
      </c>
      <c r="B66">
        <v>6.25</v>
      </c>
      <c r="C66" s="11">
        <f t="shared" si="1"/>
        <v>2500</v>
      </c>
      <c r="D66">
        <f t="shared" si="0"/>
        <v>187.5</v>
      </c>
    </row>
    <row r="67" spans="1:4" ht="12.75">
      <c r="A67" t="s">
        <v>208</v>
      </c>
      <c r="B67">
        <v>6</v>
      </c>
      <c r="C67" s="11">
        <f aca="true" t="shared" si="2" ref="C67:C144">B67*400</f>
        <v>2400</v>
      </c>
      <c r="D67">
        <f aca="true" t="shared" si="3" ref="D67:D144">IF((10-B67)&gt;6,300,IF((10-B67)&gt;0,((10-B67)*50),0))</f>
        <v>200</v>
      </c>
    </row>
    <row r="68" spans="1:4" ht="12.75">
      <c r="A68" t="s">
        <v>209</v>
      </c>
      <c r="B68">
        <v>5.75</v>
      </c>
      <c r="C68" s="11">
        <f t="shared" si="2"/>
        <v>2300</v>
      </c>
      <c r="D68">
        <f t="shared" si="3"/>
        <v>212.5</v>
      </c>
    </row>
    <row r="69" spans="1:4" ht="12.75">
      <c r="A69" t="s">
        <v>210</v>
      </c>
      <c r="B69">
        <v>6.75</v>
      </c>
      <c r="C69" s="11">
        <f t="shared" si="2"/>
        <v>2700</v>
      </c>
      <c r="D69">
        <f t="shared" si="3"/>
        <v>162.5</v>
      </c>
    </row>
    <row r="70" spans="1:4" ht="12.75">
      <c r="A70" t="s">
        <v>211</v>
      </c>
      <c r="B70">
        <v>6.5</v>
      </c>
      <c r="C70" s="11">
        <f t="shared" si="2"/>
        <v>2600</v>
      </c>
      <c r="D70">
        <f t="shared" si="3"/>
        <v>175</v>
      </c>
    </row>
    <row r="71" spans="1:4" ht="12.75">
      <c r="A71" t="s">
        <v>212</v>
      </c>
      <c r="B71">
        <v>6.25</v>
      </c>
      <c r="C71" s="11">
        <f t="shared" si="2"/>
        <v>2500</v>
      </c>
      <c r="D71">
        <f t="shared" si="3"/>
        <v>187.5</v>
      </c>
    </row>
    <row r="72" spans="1:4" ht="12.75">
      <c r="A72" t="s">
        <v>213</v>
      </c>
      <c r="B72">
        <v>6</v>
      </c>
      <c r="C72" s="11">
        <f t="shared" si="2"/>
        <v>2400</v>
      </c>
      <c r="D72">
        <f t="shared" si="3"/>
        <v>200</v>
      </c>
    </row>
    <row r="73" spans="1:4" ht="12.75">
      <c r="A73" t="s">
        <v>214</v>
      </c>
      <c r="B73">
        <v>7</v>
      </c>
      <c r="C73" s="11">
        <f t="shared" si="2"/>
        <v>2800</v>
      </c>
      <c r="D73">
        <f t="shared" si="3"/>
        <v>150</v>
      </c>
    </row>
    <row r="74" spans="1:4" ht="12.75">
      <c r="A74" t="s">
        <v>215</v>
      </c>
      <c r="B74">
        <v>6.75</v>
      </c>
      <c r="C74" s="11">
        <f t="shared" si="2"/>
        <v>2700</v>
      </c>
      <c r="D74">
        <f t="shared" si="3"/>
        <v>162.5</v>
      </c>
    </row>
    <row r="75" spans="1:4" ht="12.75">
      <c r="A75" t="s">
        <v>216</v>
      </c>
      <c r="B75">
        <v>6.5</v>
      </c>
      <c r="C75" s="11">
        <f t="shared" si="2"/>
        <v>2600</v>
      </c>
      <c r="D75">
        <f t="shared" si="3"/>
        <v>175</v>
      </c>
    </row>
    <row r="76" spans="1:4" ht="12.75">
      <c r="A76" t="s">
        <v>217</v>
      </c>
      <c r="B76">
        <v>6.25</v>
      </c>
      <c r="C76" s="11">
        <f t="shared" si="2"/>
        <v>2500</v>
      </c>
      <c r="D76">
        <f t="shared" si="3"/>
        <v>187.5</v>
      </c>
    </row>
    <row r="77" spans="1:4" ht="12.75">
      <c r="A77" t="s">
        <v>218</v>
      </c>
      <c r="B77">
        <v>2</v>
      </c>
      <c r="C77" s="11">
        <f t="shared" si="2"/>
        <v>800</v>
      </c>
      <c r="D77">
        <v>0</v>
      </c>
    </row>
    <row r="78" spans="1:4" ht="12.75">
      <c r="A78" t="s">
        <v>219</v>
      </c>
      <c r="B78">
        <v>4</v>
      </c>
      <c r="C78" s="11">
        <f t="shared" si="2"/>
        <v>1600</v>
      </c>
      <c r="D78">
        <v>0</v>
      </c>
    </row>
    <row r="79" spans="1:4" ht="12.75">
      <c r="A79" t="s">
        <v>220</v>
      </c>
      <c r="B79">
        <v>6</v>
      </c>
      <c r="C79" s="11">
        <f t="shared" si="2"/>
        <v>2400</v>
      </c>
      <c r="D79">
        <v>0</v>
      </c>
    </row>
    <row r="80" spans="1:4" ht="12.75">
      <c r="A80" t="s">
        <v>221</v>
      </c>
      <c r="B80">
        <v>3</v>
      </c>
      <c r="C80" s="11">
        <f t="shared" si="2"/>
        <v>1200</v>
      </c>
      <c r="D80">
        <v>0</v>
      </c>
    </row>
    <row r="81" spans="1:4" ht="12.75">
      <c r="A81" t="s">
        <v>222</v>
      </c>
      <c r="B81">
        <v>5</v>
      </c>
      <c r="C81" s="11">
        <f t="shared" si="2"/>
        <v>2000</v>
      </c>
      <c r="D81">
        <v>0</v>
      </c>
    </row>
    <row r="82" spans="1:4" ht="12.75">
      <c r="A82" t="s">
        <v>223</v>
      </c>
      <c r="B82">
        <v>7</v>
      </c>
      <c r="C82" s="11">
        <f t="shared" si="2"/>
        <v>2800</v>
      </c>
      <c r="D82">
        <v>0</v>
      </c>
    </row>
    <row r="83" spans="1:4" ht="12.75">
      <c r="A83" t="s">
        <v>393</v>
      </c>
      <c r="B83">
        <v>2.5</v>
      </c>
      <c r="C83" s="21">
        <f t="shared" si="2"/>
        <v>1000</v>
      </c>
      <c r="D83">
        <v>0</v>
      </c>
    </row>
    <row r="84" spans="1:4" ht="12.75">
      <c r="A84" t="s">
        <v>394</v>
      </c>
      <c r="B84">
        <v>5</v>
      </c>
      <c r="C84" s="21">
        <f t="shared" si="2"/>
        <v>2000</v>
      </c>
      <c r="D84">
        <v>0</v>
      </c>
    </row>
    <row r="85" spans="1:4" ht="12.75">
      <c r="A85" t="s">
        <v>395</v>
      </c>
      <c r="B85">
        <v>7.5</v>
      </c>
      <c r="C85" s="21">
        <f t="shared" si="2"/>
        <v>3000</v>
      </c>
      <c r="D85">
        <v>0</v>
      </c>
    </row>
    <row r="86" spans="1:4" ht="12.75">
      <c r="A86" t="s">
        <v>396</v>
      </c>
      <c r="B86">
        <v>3.5</v>
      </c>
      <c r="C86" s="21">
        <f t="shared" si="2"/>
        <v>1400</v>
      </c>
      <c r="D86">
        <v>0</v>
      </c>
    </row>
    <row r="87" spans="1:4" ht="12.75">
      <c r="A87" t="s">
        <v>397</v>
      </c>
      <c r="B87">
        <v>6.5</v>
      </c>
      <c r="C87" s="21">
        <f t="shared" si="2"/>
        <v>2600</v>
      </c>
      <c r="D87">
        <v>0</v>
      </c>
    </row>
    <row r="88" spans="1:4" ht="12.75">
      <c r="A88" t="s">
        <v>398</v>
      </c>
      <c r="B88">
        <v>9.5</v>
      </c>
      <c r="C88" s="21">
        <f t="shared" si="2"/>
        <v>3800</v>
      </c>
      <c r="D88">
        <v>0</v>
      </c>
    </row>
    <row r="89" spans="1:4" ht="12.75">
      <c r="A89" t="s">
        <v>224</v>
      </c>
      <c r="B89">
        <v>3</v>
      </c>
      <c r="C89" s="11">
        <f t="shared" si="2"/>
        <v>1200</v>
      </c>
      <c r="D89">
        <v>200</v>
      </c>
    </row>
    <row r="90" spans="1:4" ht="12.75">
      <c r="A90" t="s">
        <v>225</v>
      </c>
      <c r="B90">
        <v>6</v>
      </c>
      <c r="C90" s="11">
        <f t="shared" si="2"/>
        <v>2400</v>
      </c>
      <c r="D90">
        <v>200</v>
      </c>
    </row>
    <row r="91" spans="1:4" ht="12.75">
      <c r="A91" t="s">
        <v>226</v>
      </c>
      <c r="B91">
        <v>9</v>
      </c>
      <c r="C91" s="11">
        <f t="shared" si="2"/>
        <v>3600</v>
      </c>
      <c r="D91">
        <v>200</v>
      </c>
    </row>
    <row r="92" spans="1:4" ht="12.75">
      <c r="A92" t="s">
        <v>227</v>
      </c>
      <c r="B92">
        <v>4</v>
      </c>
      <c r="C92" s="11">
        <f t="shared" si="2"/>
        <v>1600</v>
      </c>
      <c r="D92">
        <v>200</v>
      </c>
    </row>
    <row r="93" spans="1:4" ht="12.75">
      <c r="A93" t="s">
        <v>228</v>
      </c>
      <c r="B93">
        <v>8</v>
      </c>
      <c r="C93" s="11">
        <f t="shared" si="2"/>
        <v>3200</v>
      </c>
      <c r="D93">
        <v>200</v>
      </c>
    </row>
    <row r="94" spans="1:4" ht="12.75">
      <c r="A94" t="s">
        <v>229</v>
      </c>
      <c r="B94">
        <v>12</v>
      </c>
      <c r="C94" s="11">
        <f t="shared" si="2"/>
        <v>4800</v>
      </c>
      <c r="D94">
        <v>200</v>
      </c>
    </row>
    <row r="95" spans="1:4" ht="12.75">
      <c r="A95" t="s">
        <v>230</v>
      </c>
      <c r="B95">
        <v>6</v>
      </c>
      <c r="C95" s="11">
        <f t="shared" si="2"/>
        <v>2400</v>
      </c>
      <c r="D95">
        <v>300</v>
      </c>
    </row>
    <row r="96" spans="1:4" ht="12.75">
      <c r="A96" t="s">
        <v>231</v>
      </c>
      <c r="B96">
        <v>12</v>
      </c>
      <c r="C96" s="11">
        <f t="shared" si="2"/>
        <v>4800</v>
      </c>
      <c r="D96">
        <v>300</v>
      </c>
    </row>
    <row r="97" spans="1:4" ht="12.75">
      <c r="A97" t="s">
        <v>232</v>
      </c>
      <c r="B97">
        <v>18</v>
      </c>
      <c r="C97" s="11">
        <f t="shared" si="2"/>
        <v>7200</v>
      </c>
      <c r="D97">
        <v>300</v>
      </c>
    </row>
    <row r="98" spans="1:4" ht="12.75">
      <c r="A98" t="s">
        <v>233</v>
      </c>
      <c r="B98">
        <v>7</v>
      </c>
      <c r="C98" s="11">
        <f t="shared" si="2"/>
        <v>2800</v>
      </c>
      <c r="D98">
        <v>300</v>
      </c>
    </row>
    <row r="99" spans="1:4" ht="12.75">
      <c r="A99" t="s">
        <v>234</v>
      </c>
      <c r="B99">
        <v>15</v>
      </c>
      <c r="C99" s="11">
        <f t="shared" si="2"/>
        <v>6000</v>
      </c>
      <c r="D99">
        <v>300</v>
      </c>
    </row>
    <row r="100" spans="1:4" ht="12.75">
      <c r="A100" t="s">
        <v>235</v>
      </c>
      <c r="B100">
        <v>25</v>
      </c>
      <c r="C100" s="11">
        <f t="shared" si="2"/>
        <v>10000</v>
      </c>
      <c r="D100">
        <v>300</v>
      </c>
    </row>
    <row r="101" spans="1:4" ht="12.75">
      <c r="A101" t="s">
        <v>236</v>
      </c>
      <c r="B101">
        <v>3</v>
      </c>
      <c r="C101" s="11">
        <f t="shared" si="2"/>
        <v>1200</v>
      </c>
      <c r="D101">
        <f t="shared" si="3"/>
        <v>300</v>
      </c>
    </row>
    <row r="102" spans="1:4" ht="12.75">
      <c r="A102" t="s">
        <v>237</v>
      </c>
      <c r="B102">
        <v>4.5</v>
      </c>
      <c r="C102" s="11">
        <f t="shared" si="2"/>
        <v>1800</v>
      </c>
      <c r="D102">
        <f t="shared" si="3"/>
        <v>275</v>
      </c>
    </row>
    <row r="103" spans="1:4" ht="12.75">
      <c r="A103" t="s">
        <v>238</v>
      </c>
      <c r="B103">
        <v>6</v>
      </c>
      <c r="C103" s="11">
        <f t="shared" si="2"/>
        <v>2400</v>
      </c>
      <c r="D103">
        <f t="shared" si="3"/>
        <v>200</v>
      </c>
    </row>
    <row r="104" spans="1:4" ht="12.75">
      <c r="A104" t="s">
        <v>239</v>
      </c>
      <c r="B104">
        <v>7.5</v>
      </c>
      <c r="C104" s="11">
        <f t="shared" si="2"/>
        <v>3000</v>
      </c>
      <c r="D104">
        <f t="shared" si="3"/>
        <v>125</v>
      </c>
    </row>
    <row r="105" spans="1:4" ht="12.75">
      <c r="A105" t="s">
        <v>240</v>
      </c>
      <c r="B105">
        <v>9</v>
      </c>
      <c r="C105" s="11">
        <f t="shared" si="2"/>
        <v>3600</v>
      </c>
      <c r="D105">
        <f t="shared" si="3"/>
        <v>50</v>
      </c>
    </row>
    <row r="106" spans="1:4" ht="12.75">
      <c r="A106" t="s">
        <v>241</v>
      </c>
      <c r="B106">
        <v>6.75</v>
      </c>
      <c r="C106" s="11">
        <f t="shared" si="2"/>
        <v>2700</v>
      </c>
      <c r="D106">
        <f t="shared" si="3"/>
        <v>162.5</v>
      </c>
    </row>
    <row r="107" spans="1:4" ht="12.75">
      <c r="A107" t="s">
        <v>242</v>
      </c>
      <c r="B107">
        <v>9</v>
      </c>
      <c r="C107" s="11">
        <f t="shared" si="2"/>
        <v>3600</v>
      </c>
      <c r="D107">
        <f t="shared" si="3"/>
        <v>50</v>
      </c>
    </row>
    <row r="108" spans="1:4" ht="12.75">
      <c r="A108" t="s">
        <v>243</v>
      </c>
      <c r="B108">
        <v>11.25</v>
      </c>
      <c r="C108" s="11">
        <f t="shared" si="2"/>
        <v>4500</v>
      </c>
      <c r="D108">
        <f t="shared" si="3"/>
        <v>0</v>
      </c>
    </row>
    <row r="109" spans="1:4" ht="12.75">
      <c r="A109" t="s">
        <v>244</v>
      </c>
      <c r="B109">
        <v>13.5</v>
      </c>
      <c r="C109" s="11">
        <f t="shared" si="2"/>
        <v>5400</v>
      </c>
      <c r="D109">
        <f t="shared" si="3"/>
        <v>0</v>
      </c>
    </row>
    <row r="110" spans="1:4" ht="12.75">
      <c r="A110" t="s">
        <v>245</v>
      </c>
      <c r="B110">
        <v>12</v>
      </c>
      <c r="C110" s="11">
        <f t="shared" si="2"/>
        <v>4800</v>
      </c>
      <c r="D110">
        <f t="shared" si="3"/>
        <v>0</v>
      </c>
    </row>
    <row r="111" spans="1:4" ht="12.75">
      <c r="A111" t="s">
        <v>246</v>
      </c>
      <c r="B111">
        <v>15</v>
      </c>
      <c r="C111" s="11">
        <f t="shared" si="2"/>
        <v>6000</v>
      </c>
      <c r="D111">
        <f t="shared" si="3"/>
        <v>0</v>
      </c>
    </row>
    <row r="112" spans="1:4" ht="12.75">
      <c r="A112" t="s">
        <v>247</v>
      </c>
      <c r="B112">
        <v>18</v>
      </c>
      <c r="C112" s="11">
        <f t="shared" si="2"/>
        <v>7200</v>
      </c>
      <c r="D112">
        <f t="shared" si="3"/>
        <v>0</v>
      </c>
    </row>
    <row r="113" spans="1:4" ht="12.75">
      <c r="A113" t="s">
        <v>248</v>
      </c>
      <c r="B113">
        <v>18.75</v>
      </c>
      <c r="C113" s="11">
        <f t="shared" si="2"/>
        <v>7500</v>
      </c>
      <c r="D113">
        <f t="shared" si="3"/>
        <v>0</v>
      </c>
    </row>
    <row r="114" spans="1:4" ht="12.75">
      <c r="A114" t="s">
        <v>249</v>
      </c>
      <c r="B114">
        <v>22.5</v>
      </c>
      <c r="C114" s="11">
        <f t="shared" si="2"/>
        <v>9000</v>
      </c>
      <c r="D114">
        <f t="shared" si="3"/>
        <v>0</v>
      </c>
    </row>
    <row r="115" spans="1:4" ht="12.75">
      <c r="A115" t="s">
        <v>250</v>
      </c>
      <c r="B115">
        <v>27</v>
      </c>
      <c r="C115" s="11">
        <f t="shared" si="2"/>
        <v>10800</v>
      </c>
      <c r="D115">
        <f t="shared" si="3"/>
        <v>0</v>
      </c>
    </row>
    <row r="116" spans="1:4" ht="12.75">
      <c r="A116" t="s">
        <v>251</v>
      </c>
      <c r="B116">
        <v>1.5</v>
      </c>
      <c r="C116" s="11">
        <f t="shared" si="2"/>
        <v>600</v>
      </c>
      <c r="D116">
        <f t="shared" si="3"/>
        <v>300</v>
      </c>
    </row>
    <row r="117" spans="1:4" ht="12.75">
      <c r="A117" t="s">
        <v>252</v>
      </c>
      <c r="B117">
        <v>2.625</v>
      </c>
      <c r="C117" s="11">
        <f t="shared" si="2"/>
        <v>1050</v>
      </c>
      <c r="D117">
        <f t="shared" si="3"/>
        <v>300</v>
      </c>
    </row>
    <row r="118" spans="1:4" ht="12.75">
      <c r="A118" t="s">
        <v>253</v>
      </c>
      <c r="B118">
        <v>3.375</v>
      </c>
      <c r="C118" s="11">
        <f t="shared" si="2"/>
        <v>1350</v>
      </c>
      <c r="D118">
        <f t="shared" si="3"/>
        <v>300</v>
      </c>
    </row>
    <row r="119" spans="1:4" ht="12.75">
      <c r="A119" t="s">
        <v>254</v>
      </c>
      <c r="B119">
        <v>5.625</v>
      </c>
      <c r="C119" s="11">
        <f t="shared" si="2"/>
        <v>2250</v>
      </c>
      <c r="D119">
        <f t="shared" si="3"/>
        <v>218.75</v>
      </c>
    </row>
    <row r="120" spans="1:4" ht="12.75">
      <c r="A120" t="s">
        <v>255</v>
      </c>
      <c r="B120">
        <v>6</v>
      </c>
      <c r="C120" s="11">
        <f t="shared" si="2"/>
        <v>2400</v>
      </c>
      <c r="D120">
        <f t="shared" si="3"/>
        <v>200</v>
      </c>
    </row>
    <row r="121" spans="1:4" ht="12.75">
      <c r="A121" t="s">
        <v>256</v>
      </c>
      <c r="B121">
        <v>9.375</v>
      </c>
      <c r="C121" s="11">
        <f t="shared" si="2"/>
        <v>3750</v>
      </c>
      <c r="D121">
        <f t="shared" si="3"/>
        <v>31.25</v>
      </c>
    </row>
    <row r="122" spans="1:4" ht="12.75">
      <c r="A122" t="s">
        <v>257</v>
      </c>
      <c r="B122">
        <v>13.5</v>
      </c>
      <c r="C122" s="11">
        <f t="shared" si="2"/>
        <v>5400</v>
      </c>
      <c r="D122">
        <f t="shared" si="3"/>
        <v>0</v>
      </c>
    </row>
    <row r="123" spans="1:4" ht="12.75">
      <c r="A123" t="s">
        <v>331</v>
      </c>
      <c r="B123">
        <f>B101*(5/3)</f>
        <v>5</v>
      </c>
      <c r="C123" s="11">
        <f t="shared" si="2"/>
        <v>2000</v>
      </c>
      <c r="D123">
        <f t="shared" si="3"/>
        <v>250</v>
      </c>
    </row>
    <row r="124" spans="1:4" ht="12.75">
      <c r="A124" t="s">
        <v>332</v>
      </c>
      <c r="B124">
        <f aca="true" t="shared" si="4" ref="B124:B144">B102*(5/3)</f>
        <v>7.5</v>
      </c>
      <c r="C124" s="11">
        <f t="shared" si="2"/>
        <v>3000</v>
      </c>
      <c r="D124">
        <f t="shared" si="3"/>
        <v>125</v>
      </c>
    </row>
    <row r="125" spans="1:4" ht="12.75">
      <c r="A125" t="s">
        <v>333</v>
      </c>
      <c r="B125">
        <f t="shared" si="4"/>
        <v>10</v>
      </c>
      <c r="C125" s="11">
        <f t="shared" si="2"/>
        <v>4000</v>
      </c>
      <c r="D125">
        <f t="shared" si="3"/>
        <v>0</v>
      </c>
    </row>
    <row r="126" spans="1:4" ht="12.75">
      <c r="A126" t="s">
        <v>334</v>
      </c>
      <c r="B126">
        <f t="shared" si="4"/>
        <v>12.5</v>
      </c>
      <c r="C126" s="11">
        <f t="shared" si="2"/>
        <v>5000</v>
      </c>
      <c r="D126">
        <f t="shared" si="3"/>
        <v>0</v>
      </c>
    </row>
    <row r="127" spans="1:4" ht="12.75">
      <c r="A127" t="s">
        <v>335</v>
      </c>
      <c r="B127">
        <f t="shared" si="4"/>
        <v>15</v>
      </c>
      <c r="C127" s="11">
        <f t="shared" si="2"/>
        <v>6000</v>
      </c>
      <c r="D127">
        <f t="shared" si="3"/>
        <v>0</v>
      </c>
    </row>
    <row r="128" spans="1:4" ht="12.75">
      <c r="A128" t="s">
        <v>336</v>
      </c>
      <c r="B128">
        <f t="shared" si="4"/>
        <v>11.25</v>
      </c>
      <c r="C128" s="11">
        <f t="shared" si="2"/>
        <v>4500</v>
      </c>
      <c r="D128">
        <f t="shared" si="3"/>
        <v>0</v>
      </c>
    </row>
    <row r="129" spans="1:4" ht="12.75">
      <c r="A129" t="s">
        <v>337</v>
      </c>
      <c r="B129">
        <f t="shared" si="4"/>
        <v>15</v>
      </c>
      <c r="C129" s="11">
        <f t="shared" si="2"/>
        <v>6000</v>
      </c>
      <c r="D129">
        <f t="shared" si="3"/>
        <v>0</v>
      </c>
    </row>
    <row r="130" spans="1:4" ht="12.75">
      <c r="A130" t="s">
        <v>338</v>
      </c>
      <c r="B130">
        <f t="shared" si="4"/>
        <v>18.75</v>
      </c>
      <c r="C130" s="11">
        <f t="shared" si="2"/>
        <v>7500</v>
      </c>
      <c r="D130">
        <f t="shared" si="3"/>
        <v>0</v>
      </c>
    </row>
    <row r="131" spans="1:4" ht="12.75">
      <c r="A131" t="s">
        <v>339</v>
      </c>
      <c r="B131">
        <f t="shared" si="4"/>
        <v>22.5</v>
      </c>
      <c r="C131" s="11">
        <f t="shared" si="2"/>
        <v>9000</v>
      </c>
      <c r="D131">
        <f t="shared" si="3"/>
        <v>0</v>
      </c>
    </row>
    <row r="132" spans="1:4" ht="12.75">
      <c r="A132" t="s">
        <v>340</v>
      </c>
      <c r="B132">
        <f t="shared" si="4"/>
        <v>20</v>
      </c>
      <c r="C132" s="11">
        <f t="shared" si="2"/>
        <v>8000</v>
      </c>
      <c r="D132">
        <f t="shared" si="3"/>
        <v>0</v>
      </c>
    </row>
    <row r="133" spans="1:4" ht="12.75">
      <c r="A133" t="s">
        <v>341</v>
      </c>
      <c r="B133">
        <f t="shared" si="4"/>
        <v>25</v>
      </c>
      <c r="C133" s="11">
        <f t="shared" si="2"/>
        <v>10000</v>
      </c>
      <c r="D133">
        <f t="shared" si="3"/>
        <v>0</v>
      </c>
    </row>
    <row r="134" spans="1:4" ht="12.75">
      <c r="A134" t="s">
        <v>342</v>
      </c>
      <c r="B134">
        <f t="shared" si="4"/>
        <v>30</v>
      </c>
      <c r="C134" s="11">
        <f t="shared" si="2"/>
        <v>12000</v>
      </c>
      <c r="D134">
        <f t="shared" si="3"/>
        <v>0</v>
      </c>
    </row>
    <row r="135" spans="1:4" ht="12.75">
      <c r="A135" t="s">
        <v>343</v>
      </c>
      <c r="B135">
        <f t="shared" si="4"/>
        <v>31.25</v>
      </c>
      <c r="C135" s="11">
        <f t="shared" si="2"/>
        <v>12500</v>
      </c>
      <c r="D135">
        <f t="shared" si="3"/>
        <v>0</v>
      </c>
    </row>
    <row r="136" spans="1:4" ht="12.75">
      <c r="A136" t="s">
        <v>344</v>
      </c>
      <c r="B136">
        <f t="shared" si="4"/>
        <v>37.5</v>
      </c>
      <c r="C136" s="11">
        <f t="shared" si="2"/>
        <v>15000</v>
      </c>
      <c r="D136">
        <f t="shared" si="3"/>
        <v>0</v>
      </c>
    </row>
    <row r="137" spans="1:4" ht="12.75">
      <c r="A137" t="s">
        <v>345</v>
      </c>
      <c r="B137">
        <f t="shared" si="4"/>
        <v>45</v>
      </c>
      <c r="C137" s="11">
        <f t="shared" si="2"/>
        <v>18000</v>
      </c>
      <c r="D137">
        <f t="shared" si="3"/>
        <v>0</v>
      </c>
    </row>
    <row r="138" spans="1:4" ht="12.75">
      <c r="A138" t="s">
        <v>346</v>
      </c>
      <c r="B138">
        <f t="shared" si="4"/>
        <v>2.5</v>
      </c>
      <c r="C138" s="11">
        <f t="shared" si="2"/>
        <v>1000</v>
      </c>
      <c r="D138">
        <f t="shared" si="3"/>
        <v>300</v>
      </c>
    </row>
    <row r="139" spans="1:4" ht="12.75">
      <c r="A139" t="s">
        <v>347</v>
      </c>
      <c r="B139">
        <f t="shared" si="4"/>
        <v>4.375</v>
      </c>
      <c r="C139" s="11">
        <f t="shared" si="2"/>
        <v>1750</v>
      </c>
      <c r="D139">
        <f t="shared" si="3"/>
        <v>281.25</v>
      </c>
    </row>
    <row r="140" spans="1:4" ht="12.75">
      <c r="A140" t="s">
        <v>348</v>
      </c>
      <c r="B140">
        <f t="shared" si="4"/>
        <v>5.625</v>
      </c>
      <c r="C140" s="11">
        <f t="shared" si="2"/>
        <v>2250</v>
      </c>
      <c r="D140">
        <f t="shared" si="3"/>
        <v>218.75</v>
      </c>
    </row>
    <row r="141" spans="1:4" ht="12.75">
      <c r="A141" t="s">
        <v>349</v>
      </c>
      <c r="B141">
        <f t="shared" si="4"/>
        <v>9.375</v>
      </c>
      <c r="C141" s="11">
        <f t="shared" si="2"/>
        <v>3750</v>
      </c>
      <c r="D141">
        <f t="shared" si="3"/>
        <v>31.25</v>
      </c>
    </row>
    <row r="142" spans="1:4" ht="12.75">
      <c r="A142" t="s">
        <v>350</v>
      </c>
      <c r="B142">
        <f t="shared" si="4"/>
        <v>10</v>
      </c>
      <c r="C142" s="11">
        <f t="shared" si="2"/>
        <v>4000</v>
      </c>
      <c r="D142">
        <f t="shared" si="3"/>
        <v>0</v>
      </c>
    </row>
    <row r="143" spans="1:4" ht="12.75">
      <c r="A143" t="s">
        <v>351</v>
      </c>
      <c r="B143">
        <f t="shared" si="4"/>
        <v>15.625</v>
      </c>
      <c r="C143" s="11">
        <f t="shared" si="2"/>
        <v>6250</v>
      </c>
      <c r="D143">
        <f t="shared" si="3"/>
        <v>0</v>
      </c>
    </row>
    <row r="144" spans="1:4" ht="12.75">
      <c r="A144" t="s">
        <v>352</v>
      </c>
      <c r="B144">
        <f t="shared" si="4"/>
        <v>22.5</v>
      </c>
      <c r="C144" s="11">
        <f t="shared" si="2"/>
        <v>9000</v>
      </c>
      <c r="D144">
        <f t="shared" si="3"/>
        <v>0</v>
      </c>
    </row>
    <row r="145" spans="1:4" ht="12.75">
      <c r="A145" t="s">
        <v>258</v>
      </c>
      <c r="B145">
        <f>B123*2</f>
        <v>10</v>
      </c>
      <c r="C145" s="11">
        <f aca="true" t="shared" si="5" ref="C145:C158">B145*400</f>
        <v>4000</v>
      </c>
      <c r="D145">
        <f aca="true" t="shared" si="6" ref="D145:D158">IF((10-B145)&gt;6,300,IF((10-B145)&gt;0,((10-B145)*50),0))</f>
        <v>0</v>
      </c>
    </row>
    <row r="146" spans="1:4" ht="12.75">
      <c r="A146" t="s">
        <v>259</v>
      </c>
      <c r="B146">
        <f aca="true" t="shared" si="7" ref="B146:B166">B124*2</f>
        <v>15</v>
      </c>
      <c r="C146" s="11">
        <f t="shared" si="5"/>
        <v>6000</v>
      </c>
      <c r="D146">
        <f t="shared" si="6"/>
        <v>0</v>
      </c>
    </row>
    <row r="147" spans="1:4" ht="12.75">
      <c r="A147" t="s">
        <v>260</v>
      </c>
      <c r="B147">
        <f t="shared" si="7"/>
        <v>20</v>
      </c>
      <c r="C147" s="11">
        <f t="shared" si="5"/>
        <v>8000</v>
      </c>
      <c r="D147">
        <f t="shared" si="6"/>
        <v>0</v>
      </c>
    </row>
    <row r="148" spans="1:4" ht="12.75">
      <c r="A148" t="s">
        <v>261</v>
      </c>
      <c r="B148">
        <f t="shared" si="7"/>
        <v>25</v>
      </c>
      <c r="C148" s="11">
        <f t="shared" si="5"/>
        <v>10000</v>
      </c>
      <c r="D148">
        <f t="shared" si="6"/>
        <v>0</v>
      </c>
    </row>
    <row r="149" spans="1:4" ht="12.75">
      <c r="A149" t="s">
        <v>262</v>
      </c>
      <c r="B149">
        <f t="shared" si="7"/>
        <v>30</v>
      </c>
      <c r="C149" s="11">
        <f t="shared" si="5"/>
        <v>12000</v>
      </c>
      <c r="D149">
        <f t="shared" si="6"/>
        <v>0</v>
      </c>
    </row>
    <row r="150" spans="1:4" ht="12.75">
      <c r="A150" t="s">
        <v>263</v>
      </c>
      <c r="B150">
        <f t="shared" si="7"/>
        <v>22.5</v>
      </c>
      <c r="C150" s="11">
        <f t="shared" si="5"/>
        <v>9000</v>
      </c>
      <c r="D150">
        <f t="shared" si="6"/>
        <v>0</v>
      </c>
    </row>
    <row r="151" spans="1:4" ht="12.75">
      <c r="A151" t="s">
        <v>264</v>
      </c>
      <c r="B151">
        <f t="shared" si="7"/>
        <v>30</v>
      </c>
      <c r="C151" s="11">
        <f t="shared" si="5"/>
        <v>12000</v>
      </c>
      <c r="D151">
        <f t="shared" si="6"/>
        <v>0</v>
      </c>
    </row>
    <row r="152" spans="1:4" ht="12.75">
      <c r="A152" t="s">
        <v>265</v>
      </c>
      <c r="B152">
        <f t="shared" si="7"/>
        <v>37.5</v>
      </c>
      <c r="C152" s="11">
        <f t="shared" si="5"/>
        <v>15000</v>
      </c>
      <c r="D152">
        <f t="shared" si="6"/>
        <v>0</v>
      </c>
    </row>
    <row r="153" spans="1:4" ht="12.75">
      <c r="A153" t="s">
        <v>266</v>
      </c>
      <c r="B153">
        <f t="shared" si="7"/>
        <v>45</v>
      </c>
      <c r="C153" s="11">
        <f t="shared" si="5"/>
        <v>18000</v>
      </c>
      <c r="D153">
        <f t="shared" si="6"/>
        <v>0</v>
      </c>
    </row>
    <row r="154" spans="1:4" ht="12.75">
      <c r="A154" t="s">
        <v>267</v>
      </c>
      <c r="B154">
        <f t="shared" si="7"/>
        <v>40</v>
      </c>
      <c r="C154" s="11">
        <f t="shared" si="5"/>
        <v>16000</v>
      </c>
      <c r="D154">
        <f t="shared" si="6"/>
        <v>0</v>
      </c>
    </row>
    <row r="155" spans="1:4" ht="12.75">
      <c r="A155" t="s">
        <v>268</v>
      </c>
      <c r="B155">
        <f t="shared" si="7"/>
        <v>50</v>
      </c>
      <c r="C155" s="11">
        <f t="shared" si="5"/>
        <v>20000</v>
      </c>
      <c r="D155">
        <f t="shared" si="6"/>
        <v>0</v>
      </c>
    </row>
    <row r="156" spans="1:4" ht="12.75">
      <c r="A156" t="s">
        <v>269</v>
      </c>
      <c r="B156">
        <f t="shared" si="7"/>
        <v>60</v>
      </c>
      <c r="C156" s="11">
        <f t="shared" si="5"/>
        <v>24000</v>
      </c>
      <c r="D156">
        <f t="shared" si="6"/>
        <v>0</v>
      </c>
    </row>
    <row r="157" spans="1:4" ht="12.75">
      <c r="A157" t="s">
        <v>270</v>
      </c>
      <c r="B157">
        <f t="shared" si="7"/>
        <v>62.5</v>
      </c>
      <c r="C157" s="11">
        <f t="shared" si="5"/>
        <v>25000</v>
      </c>
      <c r="D157">
        <f t="shared" si="6"/>
        <v>0</v>
      </c>
    </row>
    <row r="158" spans="1:4" ht="12.75">
      <c r="A158" t="s">
        <v>271</v>
      </c>
      <c r="B158">
        <f t="shared" si="7"/>
        <v>75</v>
      </c>
      <c r="C158" s="11">
        <f t="shared" si="5"/>
        <v>30000</v>
      </c>
      <c r="D158">
        <f t="shared" si="6"/>
        <v>0</v>
      </c>
    </row>
    <row r="159" spans="1:4" ht="12.75">
      <c r="A159" t="s">
        <v>272</v>
      </c>
      <c r="B159">
        <f t="shared" si="7"/>
        <v>90</v>
      </c>
      <c r="C159" s="11">
        <f aca="true" t="shared" si="8" ref="C159:C176">B159*400</f>
        <v>36000</v>
      </c>
      <c r="D159">
        <f aca="true" t="shared" si="9" ref="D159:D175">IF((10-B159)&gt;6,300,IF((10-B159)&gt;0,((10-B159)*50),0))</f>
        <v>0</v>
      </c>
    </row>
    <row r="160" spans="1:4" ht="12.75">
      <c r="A160" t="s">
        <v>273</v>
      </c>
      <c r="B160">
        <f t="shared" si="7"/>
        <v>5</v>
      </c>
      <c r="C160" s="11">
        <f t="shared" si="8"/>
        <v>2000</v>
      </c>
      <c r="D160">
        <f t="shared" si="9"/>
        <v>250</v>
      </c>
    </row>
    <row r="161" spans="1:4" ht="12.75">
      <c r="A161" t="s">
        <v>274</v>
      </c>
      <c r="B161">
        <f t="shared" si="7"/>
        <v>8.75</v>
      </c>
      <c r="C161" s="11">
        <f t="shared" si="8"/>
        <v>3500</v>
      </c>
      <c r="D161">
        <f t="shared" si="9"/>
        <v>62.5</v>
      </c>
    </row>
    <row r="162" spans="1:4" ht="12.75">
      <c r="A162" t="s">
        <v>275</v>
      </c>
      <c r="B162">
        <f t="shared" si="7"/>
        <v>11.25</v>
      </c>
      <c r="C162" s="11">
        <f t="shared" si="8"/>
        <v>4500</v>
      </c>
      <c r="D162">
        <f t="shared" si="9"/>
        <v>0</v>
      </c>
    </row>
    <row r="163" spans="1:4" ht="12.75">
      <c r="A163" t="s">
        <v>276</v>
      </c>
      <c r="B163">
        <f t="shared" si="7"/>
        <v>18.75</v>
      </c>
      <c r="C163" s="11">
        <f t="shared" si="8"/>
        <v>7500</v>
      </c>
      <c r="D163">
        <f t="shared" si="9"/>
        <v>0</v>
      </c>
    </row>
    <row r="164" spans="1:4" ht="12.75">
      <c r="A164" t="s">
        <v>277</v>
      </c>
      <c r="B164">
        <f t="shared" si="7"/>
        <v>20</v>
      </c>
      <c r="C164" s="11">
        <f t="shared" si="8"/>
        <v>8000</v>
      </c>
      <c r="D164">
        <f t="shared" si="9"/>
        <v>0</v>
      </c>
    </row>
    <row r="165" spans="1:4" ht="12.75">
      <c r="A165" t="s">
        <v>278</v>
      </c>
      <c r="B165">
        <f t="shared" si="7"/>
        <v>31.25</v>
      </c>
      <c r="C165" s="11">
        <f t="shared" si="8"/>
        <v>12500</v>
      </c>
      <c r="D165">
        <f t="shared" si="9"/>
        <v>0</v>
      </c>
    </row>
    <row r="166" spans="1:4" ht="12.75">
      <c r="A166" t="s">
        <v>279</v>
      </c>
      <c r="B166">
        <f t="shared" si="7"/>
        <v>45</v>
      </c>
      <c r="C166" s="11">
        <f t="shared" si="8"/>
        <v>18000</v>
      </c>
      <c r="D166">
        <f t="shared" si="9"/>
        <v>0</v>
      </c>
    </row>
    <row r="167" spans="1:4" ht="12.75">
      <c r="A167" t="s">
        <v>280</v>
      </c>
      <c r="B167">
        <v>40</v>
      </c>
      <c r="C167" s="11">
        <f t="shared" si="8"/>
        <v>16000</v>
      </c>
      <c r="D167">
        <f t="shared" si="9"/>
        <v>0</v>
      </c>
    </row>
    <row r="168" spans="1:4" ht="12.75">
      <c r="A168" t="s">
        <v>281</v>
      </c>
      <c r="B168">
        <v>20</v>
      </c>
      <c r="C168" s="11">
        <f t="shared" si="8"/>
        <v>8000</v>
      </c>
      <c r="D168">
        <f t="shared" si="9"/>
        <v>0</v>
      </c>
    </row>
    <row r="169" spans="1:4" ht="12.75">
      <c r="A169" t="s">
        <v>282</v>
      </c>
      <c r="B169">
        <v>10</v>
      </c>
      <c r="C169" s="11">
        <f t="shared" si="8"/>
        <v>4000</v>
      </c>
      <c r="D169">
        <f t="shared" si="9"/>
        <v>0</v>
      </c>
    </row>
    <row r="170" spans="1:4" ht="12.75">
      <c r="A170" t="s">
        <v>283</v>
      </c>
      <c r="B170">
        <v>5</v>
      </c>
      <c r="C170" s="11">
        <f t="shared" si="8"/>
        <v>2000</v>
      </c>
      <c r="D170">
        <f t="shared" si="9"/>
        <v>250</v>
      </c>
    </row>
    <row r="171" spans="1:4" ht="12.75">
      <c r="A171" t="s">
        <v>284</v>
      </c>
      <c r="B171">
        <v>20</v>
      </c>
      <c r="C171" s="11">
        <f t="shared" si="8"/>
        <v>8000</v>
      </c>
      <c r="D171">
        <f t="shared" si="9"/>
        <v>0</v>
      </c>
    </row>
    <row r="172" spans="1:4" ht="12.75">
      <c r="A172" t="s">
        <v>285</v>
      </c>
      <c r="B172">
        <v>40</v>
      </c>
      <c r="C172" s="11">
        <f t="shared" si="8"/>
        <v>16000</v>
      </c>
      <c r="D172">
        <f t="shared" si="9"/>
        <v>0</v>
      </c>
    </row>
    <row r="173" spans="1:4" ht="12.75">
      <c r="A173" t="s">
        <v>286</v>
      </c>
      <c r="B173">
        <v>60</v>
      </c>
      <c r="C173" s="11">
        <f t="shared" si="8"/>
        <v>24000</v>
      </c>
      <c r="D173">
        <f t="shared" si="9"/>
        <v>0</v>
      </c>
    </row>
    <row r="174" spans="1:4" ht="12.75">
      <c r="A174" t="s">
        <v>287</v>
      </c>
      <c r="B174">
        <v>50</v>
      </c>
      <c r="C174" s="11">
        <f t="shared" si="8"/>
        <v>20000</v>
      </c>
      <c r="D174">
        <f t="shared" si="9"/>
        <v>0</v>
      </c>
    </row>
    <row r="175" spans="1:4" ht="12.75">
      <c r="A175" t="s">
        <v>288</v>
      </c>
      <c r="B175">
        <v>45</v>
      </c>
      <c r="C175" s="11">
        <f t="shared" si="8"/>
        <v>18000</v>
      </c>
      <c r="D175">
        <f t="shared" si="9"/>
        <v>0</v>
      </c>
    </row>
    <row r="176" spans="1:4" ht="12.75">
      <c r="A176" t="s">
        <v>365</v>
      </c>
      <c r="B176">
        <v>0.8</v>
      </c>
      <c r="C176" s="21">
        <f t="shared" si="8"/>
        <v>320</v>
      </c>
      <c r="D176">
        <v>0</v>
      </c>
    </row>
    <row r="177" spans="1:4" ht="12.75">
      <c r="A177" t="s">
        <v>366</v>
      </c>
      <c r="B177">
        <v>1.6</v>
      </c>
      <c r="C177" s="21">
        <f aca="true" t="shared" si="10" ref="C177:C203">B177*400</f>
        <v>640</v>
      </c>
      <c r="D177">
        <v>0</v>
      </c>
    </row>
    <row r="178" spans="1:4" ht="12.75">
      <c r="A178" t="s">
        <v>367</v>
      </c>
      <c r="B178">
        <v>3.2</v>
      </c>
      <c r="C178" s="21">
        <f t="shared" si="10"/>
        <v>1280</v>
      </c>
      <c r="D178">
        <v>0</v>
      </c>
    </row>
    <row r="179" spans="1:4" ht="12.75">
      <c r="A179" t="s">
        <v>368</v>
      </c>
      <c r="B179">
        <v>4.8</v>
      </c>
      <c r="C179" s="21">
        <f t="shared" si="10"/>
        <v>1920</v>
      </c>
      <c r="D179">
        <v>0</v>
      </c>
    </row>
    <row r="180" spans="1:4" ht="12.75">
      <c r="A180" t="s">
        <v>369</v>
      </c>
      <c r="B180">
        <v>6.4</v>
      </c>
      <c r="C180" s="21">
        <f t="shared" si="10"/>
        <v>2560</v>
      </c>
      <c r="D180">
        <v>0</v>
      </c>
    </row>
    <row r="181" spans="1:4" ht="12.75">
      <c r="A181" t="s">
        <v>370</v>
      </c>
      <c r="B181">
        <v>8</v>
      </c>
      <c r="C181" s="21">
        <f t="shared" si="10"/>
        <v>3200</v>
      </c>
      <c r="D181">
        <v>0</v>
      </c>
    </row>
    <row r="182" spans="1:4" ht="12.75">
      <c r="A182" t="s">
        <v>371</v>
      </c>
      <c r="B182">
        <v>9.6</v>
      </c>
      <c r="C182" s="21">
        <f t="shared" si="10"/>
        <v>3840</v>
      </c>
      <c r="D182">
        <v>0</v>
      </c>
    </row>
    <row r="183" spans="1:4" ht="12.75">
      <c r="A183" t="s">
        <v>372</v>
      </c>
      <c r="B183">
        <v>0.9</v>
      </c>
      <c r="C183" s="21">
        <f t="shared" si="10"/>
        <v>360</v>
      </c>
      <c r="D183">
        <v>0</v>
      </c>
    </row>
    <row r="184" spans="1:4" ht="12.75">
      <c r="A184" t="s">
        <v>373</v>
      </c>
      <c r="B184">
        <v>1.8</v>
      </c>
      <c r="C184" s="21">
        <f t="shared" si="10"/>
        <v>720</v>
      </c>
      <c r="D184">
        <v>0</v>
      </c>
    </row>
    <row r="185" spans="1:4" ht="12.75">
      <c r="A185" t="s">
        <v>374</v>
      </c>
      <c r="B185">
        <v>3.6</v>
      </c>
      <c r="C185" s="21">
        <f t="shared" si="10"/>
        <v>1440</v>
      </c>
      <c r="D185">
        <v>0</v>
      </c>
    </row>
    <row r="186" spans="1:4" ht="12.75">
      <c r="A186" t="s">
        <v>375</v>
      </c>
      <c r="B186">
        <v>5.4</v>
      </c>
      <c r="C186" s="21">
        <f t="shared" si="10"/>
        <v>2160</v>
      </c>
      <c r="D186">
        <v>0</v>
      </c>
    </row>
    <row r="187" spans="1:4" ht="12.75">
      <c r="A187" t="s">
        <v>376</v>
      </c>
      <c r="B187">
        <v>7.2</v>
      </c>
      <c r="C187" s="21">
        <f t="shared" si="10"/>
        <v>2880</v>
      </c>
      <c r="D187">
        <v>0</v>
      </c>
    </row>
    <row r="188" spans="1:4" ht="12.75">
      <c r="A188" t="s">
        <v>377</v>
      </c>
      <c r="B188">
        <v>9</v>
      </c>
      <c r="C188" s="21">
        <f t="shared" si="10"/>
        <v>3600</v>
      </c>
      <c r="D188">
        <v>0</v>
      </c>
    </row>
    <row r="189" spans="1:4" ht="12.75">
      <c r="A189" t="s">
        <v>378</v>
      </c>
      <c r="B189">
        <v>10.8</v>
      </c>
      <c r="C189" s="21">
        <f t="shared" si="10"/>
        <v>4320</v>
      </c>
      <c r="D189">
        <v>0</v>
      </c>
    </row>
    <row r="190" spans="1:4" ht="12.75">
      <c r="A190" t="s">
        <v>379</v>
      </c>
      <c r="B190">
        <v>1.2</v>
      </c>
      <c r="C190" s="21">
        <f t="shared" si="10"/>
        <v>480</v>
      </c>
      <c r="D190">
        <v>300</v>
      </c>
    </row>
    <row r="191" spans="1:4" ht="12.75">
      <c r="A191" t="s">
        <v>380</v>
      </c>
      <c r="B191">
        <v>2.4</v>
      </c>
      <c r="C191" s="21">
        <f t="shared" si="10"/>
        <v>960</v>
      </c>
      <c r="D191">
        <v>300</v>
      </c>
    </row>
    <row r="192" spans="1:4" ht="12.75">
      <c r="A192" t="s">
        <v>381</v>
      </c>
      <c r="B192">
        <v>4.8</v>
      </c>
      <c r="C192" s="21">
        <f t="shared" si="10"/>
        <v>1920</v>
      </c>
      <c r="D192">
        <v>300</v>
      </c>
    </row>
    <row r="193" spans="1:4" ht="12.75">
      <c r="A193" t="s">
        <v>382</v>
      </c>
      <c r="B193">
        <v>7.2</v>
      </c>
      <c r="C193" s="21">
        <f t="shared" si="10"/>
        <v>2880</v>
      </c>
      <c r="D193">
        <v>300</v>
      </c>
    </row>
    <row r="194" spans="1:4" ht="12.75">
      <c r="A194" t="s">
        <v>383</v>
      </c>
      <c r="B194">
        <v>9.6</v>
      </c>
      <c r="C194" s="21">
        <f t="shared" si="10"/>
        <v>3840</v>
      </c>
      <c r="D194">
        <v>300</v>
      </c>
    </row>
    <row r="195" spans="1:4" ht="12.75">
      <c r="A195" t="s">
        <v>384</v>
      </c>
      <c r="B195">
        <v>12</v>
      </c>
      <c r="C195" s="21">
        <f t="shared" si="10"/>
        <v>4800</v>
      </c>
      <c r="D195">
        <v>300</v>
      </c>
    </row>
    <row r="196" spans="1:4" ht="12.75">
      <c r="A196" t="s">
        <v>385</v>
      </c>
      <c r="B196">
        <v>14.4</v>
      </c>
      <c r="C196" s="21">
        <f t="shared" si="10"/>
        <v>5760</v>
      </c>
      <c r="D196">
        <v>300</v>
      </c>
    </row>
    <row r="197" spans="1:4" ht="12.75">
      <c r="A197" t="s">
        <v>386</v>
      </c>
      <c r="B197">
        <v>2.4</v>
      </c>
      <c r="C197" s="21">
        <f t="shared" si="10"/>
        <v>960</v>
      </c>
      <c r="D197">
        <v>500</v>
      </c>
    </row>
    <row r="198" spans="1:4" ht="12.75">
      <c r="A198" t="s">
        <v>387</v>
      </c>
      <c r="B198">
        <v>4.8</v>
      </c>
      <c r="C198" s="21">
        <f t="shared" si="10"/>
        <v>1920</v>
      </c>
      <c r="D198">
        <v>500</v>
      </c>
    </row>
    <row r="199" spans="1:4" ht="12.75">
      <c r="A199" t="s">
        <v>388</v>
      </c>
      <c r="B199">
        <v>9.6</v>
      </c>
      <c r="C199" s="21">
        <f t="shared" si="10"/>
        <v>3840</v>
      </c>
      <c r="D199">
        <v>500</v>
      </c>
    </row>
    <row r="200" spans="1:4" ht="12.75">
      <c r="A200" t="s">
        <v>389</v>
      </c>
      <c r="B200">
        <v>14.4</v>
      </c>
      <c r="C200" s="21">
        <f t="shared" si="10"/>
        <v>5760</v>
      </c>
      <c r="D200">
        <v>500</v>
      </c>
    </row>
    <row r="201" spans="1:4" ht="12.75">
      <c r="A201" t="s">
        <v>390</v>
      </c>
      <c r="B201">
        <v>19.2</v>
      </c>
      <c r="C201" s="21">
        <f t="shared" si="10"/>
        <v>7680</v>
      </c>
      <c r="D201">
        <v>500</v>
      </c>
    </row>
    <row r="202" spans="1:4" ht="12.75">
      <c r="A202" t="s">
        <v>391</v>
      </c>
      <c r="B202">
        <v>24</v>
      </c>
      <c r="C202" s="21">
        <f t="shared" si="10"/>
        <v>9600</v>
      </c>
      <c r="D202">
        <v>500</v>
      </c>
    </row>
    <row r="203" spans="1:4" ht="12.75">
      <c r="A203" t="s">
        <v>392</v>
      </c>
      <c r="B203">
        <v>28.8</v>
      </c>
      <c r="C203" s="21">
        <f t="shared" si="10"/>
        <v>11520</v>
      </c>
      <c r="D203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30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17.140625" style="0" customWidth="1"/>
    <col min="8" max="8" width="21.57421875" style="0" customWidth="1"/>
  </cols>
  <sheetData>
    <row r="1" spans="1:9" ht="13.5" thickBot="1">
      <c r="A1" s="2" t="s">
        <v>0</v>
      </c>
      <c r="B1" s="2" t="s">
        <v>1</v>
      </c>
      <c r="C1" s="2" t="s">
        <v>289</v>
      </c>
      <c r="D1" s="2" t="s">
        <v>290</v>
      </c>
      <c r="E1" s="2" t="s">
        <v>9</v>
      </c>
      <c r="H1" t="s">
        <v>307</v>
      </c>
      <c r="I1">
        <v>151600</v>
      </c>
    </row>
    <row r="2" spans="1:5" ht="12.75">
      <c r="A2" s="13" t="s">
        <v>291</v>
      </c>
      <c r="B2" s="13">
        <v>11</v>
      </c>
      <c r="C2" s="13">
        <v>14</v>
      </c>
      <c r="D2" s="13">
        <v>5</v>
      </c>
      <c r="E2" s="13">
        <f>(B2^2/D2)*50</f>
        <v>1210</v>
      </c>
    </row>
    <row r="3" spans="1:5" ht="12.75">
      <c r="A3" s="13" t="s">
        <v>292</v>
      </c>
      <c r="B3" s="13">
        <v>17</v>
      </c>
      <c r="C3" s="13">
        <v>16</v>
      </c>
      <c r="D3" s="13">
        <v>12</v>
      </c>
      <c r="E3" s="13">
        <f aca="true" t="shared" si="0" ref="E3:E9">(B3^2/D3)*50</f>
        <v>1204.1666666666665</v>
      </c>
    </row>
    <row r="4" spans="1:5" ht="12.75">
      <c r="A4" s="13" t="s">
        <v>293</v>
      </c>
      <c r="B4" s="13">
        <v>25</v>
      </c>
      <c r="C4" s="13">
        <v>22</v>
      </c>
      <c r="D4" s="13">
        <v>18</v>
      </c>
      <c r="E4" s="13">
        <f t="shared" si="0"/>
        <v>1736.111111111111</v>
      </c>
    </row>
    <row r="5" spans="1:5" ht="12.75">
      <c r="A5" s="13" t="s">
        <v>294</v>
      </c>
      <c r="B5" s="13">
        <v>30</v>
      </c>
      <c r="C5" s="13">
        <v>26</v>
      </c>
      <c r="D5" s="13">
        <v>22</v>
      </c>
      <c r="E5" s="13">
        <f t="shared" si="0"/>
        <v>2045.4545454545453</v>
      </c>
    </row>
    <row r="6" spans="1:5" ht="12.75">
      <c r="A6" s="13" t="s">
        <v>295</v>
      </c>
      <c r="B6" s="13">
        <v>35</v>
      </c>
      <c r="C6" s="13">
        <v>32</v>
      </c>
      <c r="D6" s="13">
        <v>32</v>
      </c>
      <c r="E6" s="13">
        <f t="shared" si="0"/>
        <v>1914.0625</v>
      </c>
    </row>
    <row r="7" spans="1:5" ht="12.75">
      <c r="A7" s="13" t="s">
        <v>640</v>
      </c>
      <c r="B7" s="13">
        <v>40</v>
      </c>
      <c r="C7" s="13">
        <v>32</v>
      </c>
      <c r="D7" s="13">
        <v>48</v>
      </c>
      <c r="E7" s="13">
        <f t="shared" si="0"/>
        <v>1666.6666666666667</v>
      </c>
    </row>
    <row r="8" spans="1:5" ht="12.75">
      <c r="A8" s="13" t="s">
        <v>296</v>
      </c>
      <c r="B8" s="13">
        <v>55</v>
      </c>
      <c r="C8" s="13">
        <v>26</v>
      </c>
      <c r="D8" s="13">
        <v>44</v>
      </c>
      <c r="E8" s="13">
        <f t="shared" si="0"/>
        <v>3437.5</v>
      </c>
    </row>
    <row r="9" spans="1:5" ht="12.75">
      <c r="A9" s="13" t="s">
        <v>297</v>
      </c>
      <c r="B9" s="13">
        <v>80</v>
      </c>
      <c r="C9" s="13">
        <v>48</v>
      </c>
      <c r="D9" s="13">
        <v>72</v>
      </c>
      <c r="E9" s="13">
        <f t="shared" si="0"/>
        <v>4444.444444444444</v>
      </c>
    </row>
    <row r="10" spans="1:5" ht="12.75">
      <c r="A10" s="14" t="s">
        <v>298</v>
      </c>
      <c r="B10" s="14">
        <v>20</v>
      </c>
      <c r="C10" s="14">
        <v>116</v>
      </c>
      <c r="D10" s="14">
        <v>10</v>
      </c>
      <c r="E10" s="14">
        <f>ROUND((B10/(C10*D10))*hpfactor,0)</f>
        <v>2614</v>
      </c>
    </row>
    <row r="11" spans="1:5" ht="12.75">
      <c r="A11" s="14" t="s">
        <v>299</v>
      </c>
      <c r="B11" s="14">
        <v>30</v>
      </c>
      <c r="C11" s="14">
        <v>139</v>
      </c>
      <c r="D11" s="14">
        <v>16</v>
      </c>
      <c r="E11" s="14">
        <f>ROUND((B11/(C11*D11))*hpfactor,0)</f>
        <v>2045</v>
      </c>
    </row>
    <row r="12" spans="1:5" ht="12.75">
      <c r="A12" s="14" t="s">
        <v>300</v>
      </c>
      <c r="B12" s="14">
        <v>45</v>
      </c>
      <c r="C12" s="14">
        <v>167</v>
      </c>
      <c r="D12" s="14">
        <v>19</v>
      </c>
      <c r="E12" s="14">
        <f>ROUND((B12/(C12*D12))*hpfactor,0)</f>
        <v>2150</v>
      </c>
    </row>
    <row r="13" spans="1:5" ht="12.75">
      <c r="A13" s="14" t="s">
        <v>641</v>
      </c>
      <c r="B13" s="14">
        <v>48</v>
      </c>
      <c r="C13" s="14">
        <v>167</v>
      </c>
      <c r="D13" s="14">
        <v>19</v>
      </c>
      <c r="E13" s="14">
        <f aca="true" t="shared" si="1" ref="E13:E18">ROUND(((B13/(C13*D13))*hpfactor)*1.5,0)</f>
        <v>3440</v>
      </c>
    </row>
    <row r="14" spans="1:5" ht="12.75">
      <c r="A14" s="14" t="s">
        <v>645</v>
      </c>
      <c r="B14" s="14">
        <v>49</v>
      </c>
      <c r="C14" s="14">
        <v>167</v>
      </c>
      <c r="D14" s="14">
        <v>19</v>
      </c>
      <c r="E14" s="14">
        <f t="shared" si="1"/>
        <v>3512</v>
      </c>
    </row>
    <row r="15" spans="1:5" ht="12.75">
      <c r="A15" s="14" t="s">
        <v>646</v>
      </c>
      <c r="B15" s="14">
        <v>50</v>
      </c>
      <c r="C15" s="14">
        <v>167</v>
      </c>
      <c r="D15" s="14">
        <v>19</v>
      </c>
      <c r="E15" s="14">
        <f t="shared" si="1"/>
        <v>3583</v>
      </c>
    </row>
    <row r="16" spans="1:5" ht="12.75">
      <c r="A16" s="14" t="s">
        <v>644</v>
      </c>
      <c r="B16" s="14">
        <v>51</v>
      </c>
      <c r="C16" s="14">
        <v>167</v>
      </c>
      <c r="D16" s="14">
        <v>19</v>
      </c>
      <c r="E16" s="14">
        <f t="shared" si="1"/>
        <v>3655</v>
      </c>
    </row>
    <row r="17" spans="1:5" ht="12.75">
      <c r="A17" s="14" t="s">
        <v>642</v>
      </c>
      <c r="B17" s="14">
        <v>54</v>
      </c>
      <c r="C17" s="14">
        <v>167</v>
      </c>
      <c r="D17" s="14">
        <v>19</v>
      </c>
      <c r="E17" s="14">
        <f t="shared" si="1"/>
        <v>3870</v>
      </c>
    </row>
    <row r="18" spans="1:5" ht="12.75">
      <c r="A18" s="14" t="s">
        <v>643</v>
      </c>
      <c r="B18" s="14">
        <v>57</v>
      </c>
      <c r="C18" s="14">
        <v>167</v>
      </c>
      <c r="D18" s="14">
        <v>19</v>
      </c>
      <c r="E18" s="14">
        <f t="shared" si="1"/>
        <v>4085</v>
      </c>
    </row>
    <row r="19" spans="1:5" ht="12.75">
      <c r="A19" s="14" t="s">
        <v>301</v>
      </c>
      <c r="B19" s="14">
        <v>55</v>
      </c>
      <c r="C19" s="14">
        <v>174</v>
      </c>
      <c r="D19" s="14">
        <v>21</v>
      </c>
      <c r="E19" s="14">
        <f>ROUND((B19/(C19*D19))*hpfactor,0)</f>
        <v>2282</v>
      </c>
    </row>
    <row r="20" spans="1:5" ht="12.75">
      <c r="A20" s="14" t="s">
        <v>302</v>
      </c>
      <c r="B20" s="14">
        <v>70</v>
      </c>
      <c r="C20" s="14">
        <v>185</v>
      </c>
      <c r="D20" s="14">
        <v>26</v>
      </c>
      <c r="E20" s="14">
        <f>ROUND((B20/(C20*D20))*hpfactor,0)</f>
        <v>2206</v>
      </c>
    </row>
    <row r="21" spans="1:5" ht="12.75">
      <c r="A21" s="14" t="s">
        <v>303</v>
      </c>
      <c r="B21" s="14">
        <v>90</v>
      </c>
      <c r="C21" s="14">
        <v>200</v>
      </c>
      <c r="D21" s="14">
        <v>30</v>
      </c>
      <c r="E21" s="14">
        <f>ROUND((B21/(C21*D21))*hpfactor,0)</f>
        <v>2274</v>
      </c>
    </row>
    <row r="22" spans="1:5" ht="12.75">
      <c r="A22" s="14" t="s">
        <v>647</v>
      </c>
      <c r="B22" s="14">
        <v>96</v>
      </c>
      <c r="C22" s="14">
        <v>200</v>
      </c>
      <c r="D22" s="14">
        <v>30</v>
      </c>
      <c r="E22" s="14">
        <f aca="true" t="shared" si="2" ref="E22:E27">ROUND(((B22/(C22*D22))*hpfactor)*2,0)</f>
        <v>4851</v>
      </c>
    </row>
    <row r="23" spans="1:5" ht="12.75">
      <c r="A23" s="14" t="s">
        <v>651</v>
      </c>
      <c r="B23" s="14">
        <v>98</v>
      </c>
      <c r="C23" s="14">
        <v>200</v>
      </c>
      <c r="D23" s="14">
        <v>30</v>
      </c>
      <c r="E23" s="14">
        <f t="shared" si="2"/>
        <v>4952</v>
      </c>
    </row>
    <row r="24" spans="1:5" ht="12.75">
      <c r="A24" s="14" t="s">
        <v>652</v>
      </c>
      <c r="B24" s="14">
        <v>100</v>
      </c>
      <c r="C24" s="14">
        <v>200</v>
      </c>
      <c r="D24" s="14">
        <v>30</v>
      </c>
      <c r="E24" s="14">
        <f t="shared" si="2"/>
        <v>5053</v>
      </c>
    </row>
    <row r="25" spans="1:5" ht="12.75">
      <c r="A25" s="14" t="s">
        <v>648</v>
      </c>
      <c r="B25" s="14">
        <v>102</v>
      </c>
      <c r="C25" s="14">
        <v>200</v>
      </c>
      <c r="D25" s="14">
        <v>30</v>
      </c>
      <c r="E25" s="14">
        <f t="shared" si="2"/>
        <v>5154</v>
      </c>
    </row>
    <row r="26" spans="1:5" ht="12.75">
      <c r="A26" s="14" t="s">
        <v>649</v>
      </c>
      <c r="B26" s="14">
        <v>108</v>
      </c>
      <c r="C26" s="14">
        <v>200</v>
      </c>
      <c r="D26" s="14">
        <v>30</v>
      </c>
      <c r="E26" s="14">
        <f t="shared" si="2"/>
        <v>5458</v>
      </c>
    </row>
    <row r="27" spans="1:5" ht="12.75">
      <c r="A27" s="14" t="s">
        <v>650</v>
      </c>
      <c r="B27" s="14">
        <v>114</v>
      </c>
      <c r="C27" s="14">
        <v>200</v>
      </c>
      <c r="D27" s="14">
        <v>30</v>
      </c>
      <c r="E27" s="14">
        <f t="shared" si="2"/>
        <v>5761</v>
      </c>
    </row>
    <row r="28" spans="1:5" ht="12.75">
      <c r="A28" s="14" t="s">
        <v>304</v>
      </c>
      <c r="B28" s="14">
        <v>110</v>
      </c>
      <c r="C28" s="14">
        <v>213</v>
      </c>
      <c r="D28" s="14">
        <v>34</v>
      </c>
      <c r="E28" s="14">
        <f>ROUND((B28/(C28*D28))*hpfactor,0)</f>
        <v>2303</v>
      </c>
    </row>
    <row r="29" spans="1:5" ht="12.75">
      <c r="A29" s="14" t="s">
        <v>305</v>
      </c>
      <c r="B29" s="14">
        <v>150</v>
      </c>
      <c r="C29" s="14">
        <v>245</v>
      </c>
      <c r="D29" s="14">
        <v>40</v>
      </c>
      <c r="E29" s="14">
        <f>ROUND((B29/(C29*D29))*hpfactor,0)</f>
        <v>2320</v>
      </c>
    </row>
    <row r="30" spans="1:5" ht="12.75">
      <c r="A30" s="14" t="s">
        <v>306</v>
      </c>
      <c r="B30" s="14">
        <v>220</v>
      </c>
      <c r="C30" s="14">
        <v>200</v>
      </c>
      <c r="D30" s="14">
        <v>68</v>
      </c>
      <c r="E30" s="14">
        <f>ROUND((B30/(C30*D30))*hpfactor,0)</f>
        <v>2452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7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3" ht="13.5" thickBot="1">
      <c r="A1" s="2" t="s">
        <v>308</v>
      </c>
      <c r="B1" s="2" t="s">
        <v>309</v>
      </c>
      <c r="C1" s="2" t="s">
        <v>310</v>
      </c>
    </row>
    <row r="2" spans="1:4" ht="12.75">
      <c r="A2" t="s">
        <v>311</v>
      </c>
      <c r="B2">
        <v>25</v>
      </c>
      <c r="C2">
        <f>ROUND((B2/0.015)+(B2^2),0)</f>
        <v>2292</v>
      </c>
      <c r="D2">
        <f>B2/0.015</f>
        <v>1666.6666666666667</v>
      </c>
    </row>
    <row r="3" spans="1:4" ht="12.75">
      <c r="A3" t="s">
        <v>312</v>
      </c>
      <c r="B3">
        <v>12.5</v>
      </c>
      <c r="C3">
        <f aca="true" t="shared" si="0" ref="C3:C17">ROUND((B3/0.015)+(B3^2),0)</f>
        <v>990</v>
      </c>
      <c r="D3">
        <f aca="true" t="shared" si="1" ref="D3:D17">B3/0.015</f>
        <v>833.3333333333334</v>
      </c>
    </row>
    <row r="4" spans="1:4" ht="12.75">
      <c r="A4" t="s">
        <v>313</v>
      </c>
      <c r="B4">
        <v>7.5</v>
      </c>
      <c r="C4">
        <f t="shared" si="0"/>
        <v>556</v>
      </c>
      <c r="D4">
        <f t="shared" si="1"/>
        <v>500</v>
      </c>
    </row>
    <row r="5" spans="1:4" ht="12.75">
      <c r="A5" t="s">
        <v>314</v>
      </c>
      <c r="B5">
        <v>2.5</v>
      </c>
      <c r="C5">
        <f t="shared" si="0"/>
        <v>173</v>
      </c>
      <c r="D5">
        <f t="shared" si="1"/>
        <v>166.66666666666669</v>
      </c>
    </row>
    <row r="6" spans="1:4" ht="12.75">
      <c r="A6" t="s">
        <v>315</v>
      </c>
      <c r="B6">
        <v>40</v>
      </c>
      <c r="C6">
        <f t="shared" si="0"/>
        <v>4267</v>
      </c>
      <c r="D6">
        <f t="shared" si="1"/>
        <v>2666.666666666667</v>
      </c>
    </row>
    <row r="7" spans="1:4" ht="12.75">
      <c r="A7" t="s">
        <v>316</v>
      </c>
      <c r="B7">
        <v>20</v>
      </c>
      <c r="C7">
        <f t="shared" si="0"/>
        <v>1733</v>
      </c>
      <c r="D7">
        <f t="shared" si="1"/>
        <v>1333.3333333333335</v>
      </c>
    </row>
    <row r="8" spans="1:4" ht="12.75">
      <c r="A8" t="s">
        <v>317</v>
      </c>
      <c r="B8">
        <v>12</v>
      </c>
      <c r="C8">
        <f t="shared" si="0"/>
        <v>944</v>
      </c>
      <c r="D8">
        <f t="shared" si="1"/>
        <v>800</v>
      </c>
    </row>
    <row r="9" spans="1:4" ht="12.75">
      <c r="A9" t="s">
        <v>318</v>
      </c>
      <c r="B9">
        <v>4</v>
      </c>
      <c r="C9">
        <f t="shared" si="0"/>
        <v>283</v>
      </c>
      <c r="D9">
        <f t="shared" si="1"/>
        <v>266.6666666666667</v>
      </c>
    </row>
    <row r="10" spans="1:4" ht="12.75">
      <c r="A10" t="s">
        <v>319</v>
      </c>
      <c r="B10">
        <f>5.25*10</f>
        <v>52.5</v>
      </c>
      <c r="C10">
        <f t="shared" si="0"/>
        <v>6256</v>
      </c>
      <c r="D10">
        <f t="shared" si="1"/>
        <v>3500</v>
      </c>
    </row>
    <row r="11" spans="1:4" ht="12.75">
      <c r="A11" t="s">
        <v>320</v>
      </c>
      <c r="B11">
        <f>5.25*5</f>
        <v>26.25</v>
      </c>
      <c r="C11">
        <f t="shared" si="0"/>
        <v>2439</v>
      </c>
      <c r="D11">
        <f t="shared" si="1"/>
        <v>1750</v>
      </c>
    </row>
    <row r="12" spans="1:4" ht="12.75">
      <c r="A12" t="s">
        <v>321</v>
      </c>
      <c r="B12">
        <f>5.25*3</f>
        <v>15.75</v>
      </c>
      <c r="C12">
        <f t="shared" si="0"/>
        <v>1298</v>
      </c>
      <c r="D12">
        <f t="shared" si="1"/>
        <v>1050</v>
      </c>
    </row>
    <row r="13" spans="1:4" ht="12.75">
      <c r="A13" t="s">
        <v>322</v>
      </c>
      <c r="B13">
        <v>5.25</v>
      </c>
      <c r="C13">
        <f t="shared" si="0"/>
        <v>378</v>
      </c>
      <c r="D13">
        <f t="shared" si="1"/>
        <v>350</v>
      </c>
    </row>
    <row r="14" spans="1:4" ht="12.75">
      <c r="A14" t="s">
        <v>323</v>
      </c>
      <c r="B14">
        <v>60</v>
      </c>
      <c r="C14">
        <f t="shared" si="0"/>
        <v>7600</v>
      </c>
      <c r="D14">
        <f t="shared" si="1"/>
        <v>4000</v>
      </c>
    </row>
    <row r="15" spans="1:4" ht="12.75">
      <c r="A15" t="s">
        <v>324</v>
      </c>
      <c r="B15">
        <v>30</v>
      </c>
      <c r="C15">
        <f t="shared" si="0"/>
        <v>2900</v>
      </c>
      <c r="D15">
        <f t="shared" si="1"/>
        <v>2000</v>
      </c>
    </row>
    <row r="16" spans="1:4" ht="12.75">
      <c r="A16" t="s">
        <v>325</v>
      </c>
      <c r="B16">
        <v>18</v>
      </c>
      <c r="C16">
        <f t="shared" si="0"/>
        <v>1524</v>
      </c>
      <c r="D16">
        <f t="shared" si="1"/>
        <v>1200</v>
      </c>
    </row>
    <row r="17" spans="1:4" ht="12.75">
      <c r="A17" t="s">
        <v>326</v>
      </c>
      <c r="B17">
        <v>6</v>
      </c>
      <c r="C17">
        <f t="shared" si="0"/>
        <v>436</v>
      </c>
      <c r="D17">
        <f t="shared" si="1"/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Gardner</dc:creator>
  <cp:keywords/>
  <dc:description/>
  <cp:lastModifiedBy>Joel Gardner</cp:lastModifiedBy>
  <dcterms:created xsi:type="dcterms:W3CDTF">2010-02-24T01:45:59Z</dcterms:created>
  <dcterms:modified xsi:type="dcterms:W3CDTF">2015-12-24T06:00:04Z</dcterms:modified>
  <cp:category/>
  <cp:version/>
  <cp:contentType/>
  <cp:contentStatus/>
</cp:coreProperties>
</file>